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li\Downloads\"/>
    </mc:Choice>
  </mc:AlternateContent>
  <xr:revisionPtr revIDLastSave="0" documentId="8_{03D2604C-8F78-43FA-BD36-E8353550E41A}" xr6:coauthVersionLast="47" xr6:coauthVersionMax="47" xr10:uidLastSave="{00000000-0000-0000-0000-000000000000}"/>
  <bookViews>
    <workbookView xWindow="-120" yWindow="-120" windowWidth="29040" windowHeight="15840"/>
  </bookViews>
  <sheets>
    <sheet name="Data Entry" sheetId="5" r:id="rId1"/>
    <sheet name="Disclaimer" sheetId="29" r:id="rId2"/>
    <sheet name="Wheat (Moist) Crop" sheetId="1" r:id="rId3"/>
    <sheet name="Wheat (Dry) Crop" sheetId="8" r:id="rId4"/>
    <sheet name="Wheat (Arid) Crop" sheetId="9" r:id="rId5"/>
    <sheet name="Barley (Moist) Crop" sheetId="2" r:id="rId6"/>
    <sheet name="Barley (Dry) Crop" sheetId="10" r:id="rId7"/>
    <sheet name="Barley (Arid) Crop" sheetId="11" r:id="rId8"/>
    <sheet name="Canola Crop" sheetId="4" r:id="rId9"/>
    <sheet name="Canola (hybrid) Crop" sheetId="3" r:id="rId10"/>
    <sheet name="Wheat (Moist) MR" sheetId="23" r:id="rId11"/>
    <sheet name="Wheat (Dry) MR" sheetId="24" r:id="rId12"/>
    <sheet name="Wheat (Arid) MR" sheetId="25" r:id="rId13"/>
    <sheet name="Barley (Moist) MR" sheetId="20" r:id="rId14"/>
    <sheet name="Barley (Dry) MR" sheetId="21" r:id="rId15"/>
    <sheet name="Barley (Arid) MR" sheetId="26" r:id="rId16"/>
    <sheet name="Canola MR" sheetId="27" r:id="rId17"/>
    <sheet name="Canola (hybrid) MR" sheetId="28" r:id="rId18"/>
    <sheet name="Wheat (Moist) Fertilizer" sheetId="12" r:id="rId19"/>
    <sheet name="Wheat (Dry) Fertilizer" sheetId="13" r:id="rId20"/>
    <sheet name="Wheat (Arid) Fertilizer" sheetId="14" r:id="rId21"/>
    <sheet name="Barley (Moist) Fertilizer" sheetId="15" r:id="rId22"/>
    <sheet name="Barley (Dry) Fertilizer" sheetId="16" r:id="rId23"/>
    <sheet name="Barley (Arid) Fertilizer" sheetId="17" r:id="rId24"/>
    <sheet name="Canola Fertilizer" sheetId="18" r:id="rId25"/>
    <sheet name="Canola (hybrid) Fertilizer" sheetId="19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3" l="1"/>
  <c r="F44" i="3" s="1"/>
  <c r="E19" i="4"/>
  <c r="F44" i="4" s="1"/>
  <c r="E19" i="11"/>
  <c r="F44" i="11" s="1"/>
  <c r="E19" i="10"/>
  <c r="F44" i="10" s="1"/>
  <c r="E19" i="19"/>
  <c r="C10" i="19"/>
  <c r="C14" i="19"/>
  <c r="J10" i="19"/>
  <c r="I10" i="19" s="1"/>
  <c r="H10" i="19" s="1"/>
  <c r="G10" i="19" s="1"/>
  <c r="C12" i="19"/>
  <c r="E22" i="19"/>
  <c r="E18" i="19" s="1"/>
  <c r="F18" i="19" s="1"/>
  <c r="I18" i="19"/>
  <c r="E19" i="18"/>
  <c r="E22" i="18" s="1"/>
  <c r="E18" i="18" s="1"/>
  <c r="F18" i="18" s="1"/>
  <c r="C10" i="18"/>
  <c r="E20" i="18" s="1"/>
  <c r="F20" i="18" s="1"/>
  <c r="E23" i="18"/>
  <c r="F23" i="18" s="1"/>
  <c r="C14" i="18"/>
  <c r="J10" i="18"/>
  <c r="C12" i="18"/>
  <c r="J23" i="18"/>
  <c r="E21" i="18"/>
  <c r="F19" i="18"/>
  <c r="E16" i="18"/>
  <c r="F16" i="18" s="1"/>
  <c r="E15" i="18"/>
  <c r="F15" i="18" s="1"/>
  <c r="E19" i="17"/>
  <c r="E21" i="17" s="1"/>
  <c r="E17" i="17" s="1"/>
  <c r="F17" i="17" s="1"/>
  <c r="M17" i="17" s="1"/>
  <c r="C10" i="17"/>
  <c r="E23" i="17"/>
  <c r="F23" i="17" s="1"/>
  <c r="C14" i="17"/>
  <c r="J10" i="17"/>
  <c r="C12" i="17"/>
  <c r="K10" i="17"/>
  <c r="L10" i="17" s="1"/>
  <c r="M10" i="17" s="1"/>
  <c r="M23" i="17" s="1"/>
  <c r="I10" i="17"/>
  <c r="H10" i="17" s="1"/>
  <c r="G10" i="17" s="1"/>
  <c r="G15" i="17" s="1"/>
  <c r="E22" i="17"/>
  <c r="F22" i="17" s="1"/>
  <c r="I22" i="17"/>
  <c r="F21" i="17"/>
  <c r="E20" i="17"/>
  <c r="E16" i="17" s="1"/>
  <c r="F19" i="17"/>
  <c r="K19" i="17"/>
  <c r="E18" i="17"/>
  <c r="F18" i="17" s="1"/>
  <c r="I17" i="17"/>
  <c r="H17" i="17"/>
  <c r="F16" i="17"/>
  <c r="J16" i="17" s="1"/>
  <c r="E15" i="17"/>
  <c r="F15" i="17" s="1"/>
  <c r="K15" i="17" s="1"/>
  <c r="E19" i="16"/>
  <c r="E23" i="16" s="1"/>
  <c r="F23" i="16" s="1"/>
  <c r="C10" i="16"/>
  <c r="C14" i="16"/>
  <c r="J10" i="16"/>
  <c r="I10" i="16" s="1"/>
  <c r="H10" i="16" s="1"/>
  <c r="G10" i="16" s="1"/>
  <c r="C12" i="16"/>
  <c r="K10" i="16"/>
  <c r="L10" i="16" s="1"/>
  <c r="M10" i="16" s="1"/>
  <c r="L23" i="16"/>
  <c r="E22" i="16"/>
  <c r="F22" i="16" s="1"/>
  <c r="L22" i="16" s="1"/>
  <c r="F19" i="16"/>
  <c r="J19" i="16" s="1"/>
  <c r="I19" i="16"/>
  <c r="E18" i="16"/>
  <c r="F18" i="16" s="1"/>
  <c r="E19" i="15"/>
  <c r="C10" i="15"/>
  <c r="C14" i="15"/>
  <c r="J10" i="15"/>
  <c r="K10" i="15" s="1"/>
  <c r="L10" i="15" s="1"/>
  <c r="M10" i="15" s="1"/>
  <c r="C12" i="15"/>
  <c r="I10" i="15"/>
  <c r="H10" i="15"/>
  <c r="G10" i="15" s="1"/>
  <c r="E22" i="15"/>
  <c r="E19" i="14"/>
  <c r="C10" i="14"/>
  <c r="C14" i="14"/>
  <c r="F19" i="14" s="1"/>
  <c r="J10" i="14"/>
  <c r="C12" i="14"/>
  <c r="E21" i="14"/>
  <c r="E19" i="13"/>
  <c r="F19" i="13" s="1"/>
  <c r="C10" i="13"/>
  <c r="E23" i="13"/>
  <c r="F23" i="13" s="1"/>
  <c r="M23" i="13" s="1"/>
  <c r="C14" i="13"/>
  <c r="J10" i="13"/>
  <c r="C12" i="13"/>
  <c r="K10" i="13" s="1"/>
  <c r="L10" i="13" s="1"/>
  <c r="M10" i="13" s="1"/>
  <c r="L23" i="13"/>
  <c r="I10" i="13"/>
  <c r="H10" i="13" s="1"/>
  <c r="E22" i="13"/>
  <c r="E18" i="13" s="1"/>
  <c r="F18" i="13" s="1"/>
  <c r="E20" i="13"/>
  <c r="L18" i="13"/>
  <c r="K18" i="13"/>
  <c r="E15" i="13"/>
  <c r="F15" i="13" s="1"/>
  <c r="E19" i="12"/>
  <c r="C10" i="12"/>
  <c r="C14" i="12"/>
  <c r="J10" i="12"/>
  <c r="I10" i="12" s="1"/>
  <c r="C12" i="12"/>
  <c r="K10" i="12"/>
  <c r="L10" i="12" s="1"/>
  <c r="M10" i="12" s="1"/>
  <c r="H10" i="12"/>
  <c r="G10" i="12" s="1"/>
  <c r="F19" i="12"/>
  <c r="K10" i="3"/>
  <c r="N10" i="3" s="1"/>
  <c r="C14" i="3"/>
  <c r="C12" i="3"/>
  <c r="E23" i="3"/>
  <c r="C16" i="3"/>
  <c r="G23" i="3"/>
  <c r="C9" i="3"/>
  <c r="C11" i="3" s="1"/>
  <c r="C10" i="3"/>
  <c r="L10" i="3"/>
  <c r="L23" i="3"/>
  <c r="J10" i="3"/>
  <c r="I10" i="3"/>
  <c r="H10" i="3"/>
  <c r="H23" i="3"/>
  <c r="E22" i="3"/>
  <c r="E21" i="3"/>
  <c r="G21" i="3" s="1"/>
  <c r="J21" i="3"/>
  <c r="E20" i="3"/>
  <c r="G20" i="3" s="1"/>
  <c r="J20" i="3" s="1"/>
  <c r="K20" i="3"/>
  <c r="E16" i="3"/>
  <c r="E15" i="3"/>
  <c r="G15" i="3"/>
  <c r="N15" i="3"/>
  <c r="K10" i="4"/>
  <c r="C14" i="4"/>
  <c r="J10" i="4" s="1"/>
  <c r="C12" i="4"/>
  <c r="E23" i="4"/>
  <c r="G23" i="4" s="1"/>
  <c r="C16" i="4"/>
  <c r="C9" i="4"/>
  <c r="C10" i="4"/>
  <c r="C11" i="4"/>
  <c r="E22" i="4"/>
  <c r="G22" i="4"/>
  <c r="E21" i="4"/>
  <c r="G21" i="4"/>
  <c r="E20" i="4"/>
  <c r="E16" i="4" s="1"/>
  <c r="G16" i="4" s="1"/>
  <c r="G20" i="4"/>
  <c r="G19" i="4"/>
  <c r="E18" i="4"/>
  <c r="G18" i="4" s="1"/>
  <c r="G43" i="4" s="1"/>
  <c r="K43" i="4" s="1"/>
  <c r="E17" i="4"/>
  <c r="G17" i="4" s="1"/>
  <c r="E15" i="4"/>
  <c r="G15" i="4"/>
  <c r="K10" i="11"/>
  <c r="C14" i="11"/>
  <c r="N10" i="11"/>
  <c r="C12" i="11"/>
  <c r="E23" i="11"/>
  <c r="G23" i="11" s="1"/>
  <c r="C16" i="11"/>
  <c r="C9" i="11"/>
  <c r="C10" i="11"/>
  <c r="C11" i="11" s="1"/>
  <c r="M10" i="11"/>
  <c r="L10" i="11"/>
  <c r="L23" i="11" s="1"/>
  <c r="J10" i="11"/>
  <c r="I10" i="11"/>
  <c r="I23" i="11"/>
  <c r="H10" i="11"/>
  <c r="G19" i="11"/>
  <c r="K19" i="11" s="1"/>
  <c r="L19" i="11"/>
  <c r="E15" i="11"/>
  <c r="G15" i="11" s="1"/>
  <c r="H15" i="11" s="1"/>
  <c r="I15" i="11"/>
  <c r="K10" i="10"/>
  <c r="C14" i="10"/>
  <c r="C12" i="10"/>
  <c r="E23" i="10"/>
  <c r="C16" i="10"/>
  <c r="G23" i="10"/>
  <c r="C9" i="10"/>
  <c r="C11" i="10" s="1"/>
  <c r="C10" i="10"/>
  <c r="E22" i="10"/>
  <c r="E21" i="10"/>
  <c r="E17" i="10" s="1"/>
  <c r="G17" i="10" s="1"/>
  <c r="G21" i="10"/>
  <c r="G46" i="10" s="1"/>
  <c r="E20" i="10"/>
  <c r="G19" i="10"/>
  <c r="E15" i="10"/>
  <c r="G15" i="10"/>
  <c r="K10" i="9"/>
  <c r="C14" i="9"/>
  <c r="I10" i="9" s="1"/>
  <c r="E19" i="9"/>
  <c r="C12" i="9"/>
  <c r="C16" i="9"/>
  <c r="C9" i="9"/>
  <c r="C10" i="9"/>
  <c r="C11" i="9" s="1"/>
  <c r="E20" i="9"/>
  <c r="E16" i="9" s="1"/>
  <c r="G20" i="9"/>
  <c r="G19" i="9"/>
  <c r="G44" i="9" s="1"/>
  <c r="K44" i="9" s="1"/>
  <c r="G16" i="9"/>
  <c r="E15" i="9"/>
  <c r="G15" i="9" s="1"/>
  <c r="K10" i="8"/>
  <c r="C14" i="8"/>
  <c r="L10" i="8" s="1"/>
  <c r="E19" i="8"/>
  <c r="C12" i="8"/>
  <c r="C16" i="8"/>
  <c r="C9" i="8"/>
  <c r="C11" i="8" s="1"/>
  <c r="C10" i="8"/>
  <c r="J10" i="8"/>
  <c r="I10" i="8"/>
  <c r="E20" i="8"/>
  <c r="C37" i="3"/>
  <c r="F47" i="3" s="1"/>
  <c r="F48" i="3"/>
  <c r="I48" i="3" s="1"/>
  <c r="G48" i="3"/>
  <c r="J48" i="3" s="1"/>
  <c r="N48" i="3"/>
  <c r="L48" i="3"/>
  <c r="K48" i="3"/>
  <c r="H48" i="3"/>
  <c r="F46" i="3"/>
  <c r="G45" i="3"/>
  <c r="F43" i="3"/>
  <c r="F42" i="3"/>
  <c r="F40" i="3"/>
  <c r="C37" i="4"/>
  <c r="F48" i="4" s="1"/>
  <c r="G48" i="4"/>
  <c r="F47" i="4"/>
  <c r="G47" i="4"/>
  <c r="G46" i="4"/>
  <c r="F45" i="4"/>
  <c r="F41" i="4" s="1"/>
  <c r="G45" i="4"/>
  <c r="G44" i="4"/>
  <c r="F43" i="4"/>
  <c r="G42" i="4"/>
  <c r="G41" i="4"/>
  <c r="F40" i="4"/>
  <c r="G40" i="4"/>
  <c r="C37" i="11"/>
  <c r="F47" i="11" s="1"/>
  <c r="F43" i="11" s="1"/>
  <c r="F48" i="11"/>
  <c r="F46" i="11"/>
  <c r="F42" i="11" s="1"/>
  <c r="F45" i="11"/>
  <c r="F41" i="11" s="1"/>
  <c r="G44" i="11"/>
  <c r="N44" i="11"/>
  <c r="M44" i="11"/>
  <c r="L44" i="11"/>
  <c r="K44" i="11"/>
  <c r="J44" i="11"/>
  <c r="I44" i="11"/>
  <c r="H44" i="11"/>
  <c r="F40" i="11"/>
  <c r="G40" i="11"/>
  <c r="M40" i="11" s="1"/>
  <c r="L40" i="11"/>
  <c r="J40" i="11"/>
  <c r="I40" i="11"/>
  <c r="C37" i="10"/>
  <c r="G48" i="10"/>
  <c r="G44" i="10"/>
  <c r="G42" i="10"/>
  <c r="F40" i="10"/>
  <c r="G40" i="10"/>
  <c r="K10" i="2"/>
  <c r="C14" i="2"/>
  <c r="N10" i="2"/>
  <c r="E19" i="2"/>
  <c r="C12" i="2"/>
  <c r="E22" i="2" s="1"/>
  <c r="G22" i="2" s="1"/>
  <c r="G47" i="2" s="1"/>
  <c r="C16" i="2"/>
  <c r="C9" i="2"/>
  <c r="C10" i="2"/>
  <c r="F44" i="2"/>
  <c r="C37" i="2"/>
  <c r="G19" i="2"/>
  <c r="G44" i="2" s="1"/>
  <c r="E18" i="2"/>
  <c r="G18" i="2"/>
  <c r="G43" i="2" s="1"/>
  <c r="E15" i="2"/>
  <c r="G15" i="2"/>
  <c r="G40" i="2" s="1"/>
  <c r="F44" i="9"/>
  <c r="C37" i="9"/>
  <c r="F48" i="9"/>
  <c r="F47" i="9"/>
  <c r="F46" i="9"/>
  <c r="F42" i="9" s="1"/>
  <c r="G45" i="9"/>
  <c r="K45" i="9" s="1"/>
  <c r="F45" i="9"/>
  <c r="F41" i="9" s="1"/>
  <c r="F43" i="9"/>
  <c r="G41" i="9"/>
  <c r="F40" i="9"/>
  <c r="F44" i="8"/>
  <c r="C37" i="8"/>
  <c r="F40" i="8"/>
  <c r="K10" i="1"/>
  <c r="C14" i="1"/>
  <c r="N10" i="1"/>
  <c r="E19" i="1"/>
  <c r="C12" i="1"/>
  <c r="C16" i="1"/>
  <c r="C9" i="1"/>
  <c r="C10" i="1"/>
  <c r="C11" i="1"/>
  <c r="F44" i="1"/>
  <c r="C37" i="1"/>
  <c r="M10" i="1"/>
  <c r="L10" i="1"/>
  <c r="E22" i="1"/>
  <c r="E18" i="1" s="1"/>
  <c r="G18" i="1" s="1"/>
  <c r="G43" i="1" s="1"/>
  <c r="G19" i="1"/>
  <c r="G44" i="1" s="1"/>
  <c r="F15" i="3"/>
  <c r="C41" i="3"/>
  <c r="K35" i="3"/>
  <c r="C39" i="3"/>
  <c r="N35" i="3"/>
  <c r="N39" i="3"/>
  <c r="C34" i="3"/>
  <c r="C35" i="3"/>
  <c r="C36" i="3" s="1"/>
  <c r="C33" i="3"/>
  <c r="K35" i="4"/>
  <c r="F15" i="4"/>
  <c r="C41" i="4"/>
  <c r="C39" i="4"/>
  <c r="L35" i="4"/>
  <c r="L39" i="4" s="1"/>
  <c r="I35" i="4"/>
  <c r="H35" i="4"/>
  <c r="H39" i="4" s="1"/>
  <c r="C34" i="4"/>
  <c r="C36" i="4" s="1"/>
  <c r="C35" i="4"/>
  <c r="C33" i="4"/>
  <c r="C41" i="11"/>
  <c r="C39" i="11"/>
  <c r="C34" i="11"/>
  <c r="C36" i="11" s="1"/>
  <c r="C35" i="11"/>
  <c r="C33" i="11"/>
  <c r="K35" i="11"/>
  <c r="J35" i="11"/>
  <c r="K35" i="10"/>
  <c r="K35" i="2"/>
  <c r="N35" i="2" s="1"/>
  <c r="F15" i="11"/>
  <c r="N35" i="11"/>
  <c r="N39" i="11" s="1"/>
  <c r="M35" i="11"/>
  <c r="M39" i="11" s="1"/>
  <c r="L35" i="11"/>
  <c r="L39" i="11"/>
  <c r="K39" i="11"/>
  <c r="J39" i="11"/>
  <c r="I35" i="11"/>
  <c r="I39" i="11"/>
  <c r="H35" i="11"/>
  <c r="H39" i="11" s="1"/>
  <c r="F15" i="10"/>
  <c r="C41" i="10"/>
  <c r="C39" i="10"/>
  <c r="N35" i="10"/>
  <c r="N39" i="10" s="1"/>
  <c r="H35" i="10"/>
  <c r="H39" i="10" s="1"/>
  <c r="C34" i="10"/>
  <c r="C35" i="10"/>
  <c r="C33" i="10"/>
  <c r="C41" i="2"/>
  <c r="C39" i="2"/>
  <c r="H35" i="2" s="1"/>
  <c r="M35" i="2"/>
  <c r="J35" i="2"/>
  <c r="I35" i="2"/>
  <c r="C34" i="2"/>
  <c r="C36" i="2" s="1"/>
  <c r="C35" i="2"/>
  <c r="C33" i="2"/>
  <c r="F15" i="9"/>
  <c r="C41" i="9"/>
  <c r="K35" i="9"/>
  <c r="C39" i="9"/>
  <c r="N35" i="9"/>
  <c r="N39" i="9" s="1"/>
  <c r="I35" i="9"/>
  <c r="I39" i="9" s="1"/>
  <c r="C34" i="9"/>
  <c r="C35" i="9"/>
  <c r="C36" i="9"/>
  <c r="C33" i="9"/>
  <c r="K35" i="8"/>
  <c r="I35" i="8" s="1"/>
  <c r="I39" i="8" s="1"/>
  <c r="C41" i="8"/>
  <c r="C39" i="8"/>
  <c r="C35" i="8"/>
  <c r="C34" i="8"/>
  <c r="C36" i="8" s="1"/>
  <c r="C33" i="8"/>
  <c r="K39" i="8"/>
  <c r="E15" i="1"/>
  <c r="G15" i="1" s="1"/>
  <c r="K15" i="1" s="1"/>
  <c r="K35" i="1"/>
  <c r="N35" i="1" s="1"/>
  <c r="N39" i="1" s="1"/>
  <c r="C33" i="1"/>
  <c r="C41" i="1"/>
  <c r="C39" i="1"/>
  <c r="C35" i="1"/>
  <c r="C36" i="1" s="1"/>
  <c r="C34" i="1"/>
  <c r="C8" i="1"/>
  <c r="K39" i="1"/>
  <c r="I35" i="1"/>
  <c r="I39" i="1" s="1"/>
  <c r="E19" i="28"/>
  <c r="F19" i="28" s="1"/>
  <c r="C12" i="28"/>
  <c r="C16" i="28"/>
  <c r="E15" i="28"/>
  <c r="F15" i="28" s="1"/>
  <c r="E19" i="27"/>
  <c r="E23" i="27" s="1"/>
  <c r="C12" i="27"/>
  <c r="C16" i="27"/>
  <c r="F23" i="27"/>
  <c r="E22" i="27"/>
  <c r="F22" i="27"/>
  <c r="E21" i="27"/>
  <c r="F21" i="27" s="1"/>
  <c r="E20" i="27"/>
  <c r="E16" i="27" s="1"/>
  <c r="F16" i="27" s="1"/>
  <c r="F19" i="27"/>
  <c r="E18" i="27"/>
  <c r="F18" i="27" s="1"/>
  <c r="F19" i="1"/>
  <c r="F20" i="9"/>
  <c r="F16" i="9"/>
  <c r="F23" i="10"/>
  <c r="F21" i="10"/>
  <c r="F19" i="10"/>
  <c r="F17" i="10"/>
  <c r="F23" i="11"/>
  <c r="F19" i="11"/>
  <c r="F23" i="4"/>
  <c r="F22" i="4"/>
  <c r="F21" i="4"/>
  <c r="F20" i="4"/>
  <c r="F19" i="4"/>
  <c r="F17" i="4"/>
  <c r="F16" i="4"/>
  <c r="F22" i="2"/>
  <c r="F18" i="2"/>
  <c r="F23" i="3"/>
  <c r="F21" i="3"/>
  <c r="F20" i="3"/>
  <c r="K24" i="28"/>
  <c r="K24" i="27"/>
  <c r="C12" i="26"/>
  <c r="K24" i="26" s="1"/>
  <c r="C12" i="21"/>
  <c r="K24" i="21" s="1"/>
  <c r="C12" i="20"/>
  <c r="K24" i="20"/>
  <c r="C12" i="25"/>
  <c r="K24" i="25" s="1"/>
  <c r="C12" i="24"/>
  <c r="K24" i="24"/>
  <c r="J10" i="28"/>
  <c r="K10" i="28" s="1"/>
  <c r="C14" i="28"/>
  <c r="M10" i="28"/>
  <c r="C9" i="28"/>
  <c r="C10" i="28"/>
  <c r="C11" i="28" s="1"/>
  <c r="L10" i="28"/>
  <c r="I10" i="28"/>
  <c r="H10" i="28"/>
  <c r="G10" i="28"/>
  <c r="C8" i="28"/>
  <c r="J10" i="27"/>
  <c r="C14" i="27"/>
  <c r="C9" i="27"/>
  <c r="C10" i="27"/>
  <c r="K10" i="27"/>
  <c r="C8" i="27"/>
  <c r="E19" i="26"/>
  <c r="E15" i="26" s="1"/>
  <c r="F15" i="26" s="1"/>
  <c r="C16" i="26"/>
  <c r="E20" i="26"/>
  <c r="F20" i="26" s="1"/>
  <c r="E19" i="21"/>
  <c r="E15" i="21"/>
  <c r="C16" i="21"/>
  <c r="F15" i="21"/>
  <c r="E19" i="20"/>
  <c r="E15" i="20"/>
  <c r="F15" i="20" s="1"/>
  <c r="H15" i="20" s="1"/>
  <c r="C16" i="20"/>
  <c r="J10" i="26"/>
  <c r="C14" i="26"/>
  <c r="G10" i="26" s="1"/>
  <c r="M10" i="26"/>
  <c r="C9" i="26"/>
  <c r="C10" i="26"/>
  <c r="C11" i="26"/>
  <c r="L10" i="26"/>
  <c r="K10" i="26"/>
  <c r="I10" i="26"/>
  <c r="H10" i="26"/>
  <c r="G20" i="26"/>
  <c r="C8" i="26"/>
  <c r="E19" i="25"/>
  <c r="C16" i="25"/>
  <c r="E19" i="24"/>
  <c r="E22" i="24" s="1"/>
  <c r="C16" i="24"/>
  <c r="J10" i="25"/>
  <c r="C14" i="25"/>
  <c r="K10" i="25" s="1"/>
  <c r="C9" i="25"/>
  <c r="C10" i="25"/>
  <c r="C8" i="25"/>
  <c r="E23" i="24"/>
  <c r="E19" i="23"/>
  <c r="C12" i="23"/>
  <c r="C16" i="23"/>
  <c r="J10" i="24"/>
  <c r="C14" i="24"/>
  <c r="H10" i="24" s="1"/>
  <c r="M10" i="24"/>
  <c r="C9" i="24"/>
  <c r="C10" i="24"/>
  <c r="C11" i="24" s="1"/>
  <c r="K10" i="24"/>
  <c r="I10" i="24"/>
  <c r="C8" i="24"/>
  <c r="K24" i="23"/>
  <c r="E23" i="23"/>
  <c r="E22" i="23"/>
  <c r="J10" i="23"/>
  <c r="I10" i="23" s="1"/>
  <c r="C14" i="23"/>
  <c r="G10" i="23" s="1"/>
  <c r="M10" i="23"/>
  <c r="C9" i="23"/>
  <c r="C11" i="23" s="1"/>
  <c r="C10" i="23"/>
  <c r="L10" i="23"/>
  <c r="C8" i="23"/>
  <c r="J10" i="20"/>
  <c r="M10" i="20" s="1"/>
  <c r="M22" i="20" s="1"/>
  <c r="C14" i="20"/>
  <c r="C9" i="20"/>
  <c r="C10" i="20"/>
  <c r="C11" i="20" s="1"/>
  <c r="L22" i="20" s="1"/>
  <c r="L10" i="20"/>
  <c r="K10" i="20"/>
  <c r="I10" i="20"/>
  <c r="H10" i="20"/>
  <c r="G10" i="20"/>
  <c r="E20" i="20"/>
  <c r="E16" i="20"/>
  <c r="E22" i="20"/>
  <c r="F22" i="20" s="1"/>
  <c r="E18" i="20"/>
  <c r="E21" i="20"/>
  <c r="E17" i="20" s="1"/>
  <c r="F17" i="20" s="1"/>
  <c r="E23" i="20"/>
  <c r="F23" i="20" s="1"/>
  <c r="F19" i="20"/>
  <c r="E23" i="21"/>
  <c r="E22" i="21"/>
  <c r="F23" i="21"/>
  <c r="E21" i="21"/>
  <c r="E20" i="21"/>
  <c r="F21" i="21"/>
  <c r="F20" i="21"/>
  <c r="E17" i="21"/>
  <c r="F17" i="21" s="1"/>
  <c r="E16" i="21"/>
  <c r="F16" i="21"/>
  <c r="J10" i="21"/>
  <c r="J17" i="21" s="1"/>
  <c r="C14" i="21"/>
  <c r="C9" i="21"/>
  <c r="C11" i="21" s="1"/>
  <c r="C10" i="21"/>
  <c r="G10" i="21"/>
  <c r="G21" i="21" s="1"/>
  <c r="J20" i="21"/>
  <c r="C8" i="21"/>
  <c r="H23" i="20"/>
  <c r="C8" i="20"/>
  <c r="J14" i="19"/>
  <c r="I14" i="19"/>
  <c r="H14" i="19"/>
  <c r="G14" i="19"/>
  <c r="C9" i="19"/>
  <c r="J14" i="18"/>
  <c r="M14" i="17"/>
  <c r="L14" i="17"/>
  <c r="K14" i="17"/>
  <c r="J14" i="17"/>
  <c r="I14" i="17"/>
  <c r="H14" i="17"/>
  <c r="G14" i="17"/>
  <c r="M14" i="16"/>
  <c r="L14" i="16"/>
  <c r="K14" i="16"/>
  <c r="J14" i="16"/>
  <c r="I14" i="16"/>
  <c r="H14" i="16"/>
  <c r="G14" i="16"/>
  <c r="M14" i="15"/>
  <c r="L14" i="15"/>
  <c r="K14" i="15"/>
  <c r="J14" i="15"/>
  <c r="I14" i="15"/>
  <c r="H14" i="15"/>
  <c r="G14" i="15"/>
  <c r="C9" i="18"/>
  <c r="C9" i="17"/>
  <c r="C9" i="16"/>
  <c r="C9" i="15"/>
  <c r="J14" i="14"/>
  <c r="C9" i="14"/>
  <c r="M14" i="13"/>
  <c r="L14" i="13"/>
  <c r="K14" i="13"/>
  <c r="J14" i="13"/>
  <c r="I14" i="13"/>
  <c r="H14" i="13"/>
  <c r="G14" i="12"/>
  <c r="C9" i="13"/>
  <c r="M14" i="12"/>
  <c r="L14" i="12"/>
  <c r="K14" i="12"/>
  <c r="J14" i="12"/>
  <c r="I14" i="12"/>
  <c r="H14" i="12"/>
  <c r="C9" i="12"/>
  <c r="C10" i="5"/>
  <c r="C8" i="11"/>
  <c r="H14" i="11"/>
  <c r="I14" i="11"/>
  <c r="J14" i="11"/>
  <c r="K14" i="11"/>
  <c r="L14" i="11"/>
  <c r="M14" i="11"/>
  <c r="N14" i="11"/>
  <c r="C8" i="10"/>
  <c r="C8" i="9"/>
  <c r="C8" i="8"/>
  <c r="I14" i="8"/>
  <c r="J14" i="8"/>
  <c r="K14" i="8"/>
  <c r="L14" i="8"/>
  <c r="C8" i="2"/>
  <c r="C8" i="4"/>
  <c r="C8" i="3"/>
  <c r="N14" i="3"/>
  <c r="L14" i="3"/>
  <c r="K14" i="3"/>
  <c r="J14" i="3"/>
  <c r="I14" i="3"/>
  <c r="H14" i="3"/>
  <c r="K14" i="1"/>
  <c r="M15" i="1"/>
  <c r="M14" i="1"/>
  <c r="L19" i="28" l="1"/>
  <c r="K19" i="28"/>
  <c r="J19" i="28"/>
  <c r="I19" i="28"/>
  <c r="G19" i="28"/>
  <c r="M19" i="28"/>
  <c r="H19" i="28"/>
  <c r="M17" i="20"/>
  <c r="L17" i="20"/>
  <c r="K17" i="20"/>
  <c r="J17" i="20"/>
  <c r="G17" i="20"/>
  <c r="H17" i="20"/>
  <c r="I17" i="20"/>
  <c r="H15" i="28"/>
  <c r="G15" i="28"/>
  <c r="M15" i="28"/>
  <c r="K15" i="28"/>
  <c r="J15" i="28"/>
  <c r="I15" i="28"/>
  <c r="L15" i="28"/>
  <c r="E18" i="24"/>
  <c r="I15" i="26"/>
  <c r="H15" i="26"/>
  <c r="G15" i="26"/>
  <c r="L15" i="26"/>
  <c r="M15" i="26"/>
  <c r="K15" i="26"/>
  <c r="J15" i="26"/>
  <c r="F23" i="23"/>
  <c r="H10" i="25"/>
  <c r="M20" i="26"/>
  <c r="L20" i="26"/>
  <c r="K20" i="26"/>
  <c r="I20" i="26"/>
  <c r="H22" i="27"/>
  <c r="K23" i="21"/>
  <c r="F22" i="21"/>
  <c r="E18" i="21"/>
  <c r="H20" i="26"/>
  <c r="K15" i="21"/>
  <c r="J15" i="21"/>
  <c r="G15" i="21"/>
  <c r="C11" i="27"/>
  <c r="J21" i="27" s="1"/>
  <c r="F22" i="23"/>
  <c r="L15" i="20"/>
  <c r="G15" i="20"/>
  <c r="K15" i="20"/>
  <c r="J15" i="20"/>
  <c r="I15" i="20"/>
  <c r="M23" i="20"/>
  <c r="E15" i="24"/>
  <c r="F15" i="24" s="1"/>
  <c r="E21" i="24"/>
  <c r="E20" i="24"/>
  <c r="G10" i="27"/>
  <c r="G22" i="27" s="1"/>
  <c r="M10" i="27"/>
  <c r="H19" i="20"/>
  <c r="G19" i="20"/>
  <c r="M19" i="20"/>
  <c r="K19" i="20"/>
  <c r="F18" i="20"/>
  <c r="E15" i="23"/>
  <c r="F15" i="23" s="1"/>
  <c r="K19" i="27"/>
  <c r="H10" i="27"/>
  <c r="E17" i="27"/>
  <c r="F17" i="27" s="1"/>
  <c r="M35" i="9"/>
  <c r="M39" i="9" s="1"/>
  <c r="J35" i="9"/>
  <c r="J39" i="9" s="1"/>
  <c r="I10" i="21"/>
  <c r="I16" i="21" s="1"/>
  <c r="H10" i="21"/>
  <c r="H21" i="21" s="1"/>
  <c r="L10" i="21"/>
  <c r="L21" i="21" s="1"/>
  <c r="J16" i="21"/>
  <c r="K10" i="21"/>
  <c r="H21" i="27"/>
  <c r="L18" i="1"/>
  <c r="L15" i="1"/>
  <c r="L44" i="1"/>
  <c r="N15" i="1"/>
  <c r="F23" i="24"/>
  <c r="E23" i="25"/>
  <c r="E22" i="25"/>
  <c r="E21" i="25"/>
  <c r="E15" i="25"/>
  <c r="F15" i="25" s="1"/>
  <c r="E20" i="25"/>
  <c r="J20" i="26"/>
  <c r="I23" i="27"/>
  <c r="H23" i="27"/>
  <c r="K23" i="27"/>
  <c r="M35" i="8"/>
  <c r="M39" i="8" s="1"/>
  <c r="H35" i="8"/>
  <c r="H39" i="8" s="1"/>
  <c r="L35" i="8"/>
  <c r="L39" i="8" s="1"/>
  <c r="J35" i="8"/>
  <c r="J39" i="8" s="1"/>
  <c r="L14" i="1"/>
  <c r="I19" i="20"/>
  <c r="G22" i="20"/>
  <c r="G16" i="21"/>
  <c r="G20" i="21"/>
  <c r="L20" i="21"/>
  <c r="L23" i="20"/>
  <c r="K23" i="20"/>
  <c r="J23" i="20"/>
  <c r="I23" i="20"/>
  <c r="G23" i="20"/>
  <c r="K22" i="20"/>
  <c r="J22" i="20"/>
  <c r="I22" i="20"/>
  <c r="H22" i="20"/>
  <c r="K10" i="23"/>
  <c r="G23" i="27"/>
  <c r="M18" i="27"/>
  <c r="K18" i="27"/>
  <c r="N35" i="8"/>
  <c r="N39" i="8" s="1"/>
  <c r="K16" i="9"/>
  <c r="K41" i="9"/>
  <c r="K14" i="9"/>
  <c r="I14" i="9"/>
  <c r="K39" i="9"/>
  <c r="E22" i="28"/>
  <c r="E21" i="28"/>
  <c r="E20" i="28"/>
  <c r="G23" i="21"/>
  <c r="J19" i="20"/>
  <c r="M10" i="21"/>
  <c r="M23" i="21" s="1"/>
  <c r="J21" i="21"/>
  <c r="F16" i="20"/>
  <c r="E18" i="23"/>
  <c r="E21" i="23"/>
  <c r="E20" i="23"/>
  <c r="E23" i="26"/>
  <c r="F23" i="26" s="1"/>
  <c r="E22" i="26"/>
  <c r="E21" i="26"/>
  <c r="I10" i="27"/>
  <c r="I19" i="27" s="1"/>
  <c r="F15" i="1"/>
  <c r="E23" i="28"/>
  <c r="F23" i="28" s="1"/>
  <c r="M35" i="1"/>
  <c r="M39" i="1" s="1"/>
  <c r="H35" i="1"/>
  <c r="H39" i="1" s="1"/>
  <c r="L35" i="1"/>
  <c r="L39" i="1" s="1"/>
  <c r="J35" i="1"/>
  <c r="J39" i="1" s="1"/>
  <c r="L19" i="1"/>
  <c r="N44" i="2"/>
  <c r="N22" i="2"/>
  <c r="G10" i="25"/>
  <c r="M10" i="25"/>
  <c r="J23" i="21"/>
  <c r="L17" i="21"/>
  <c r="K17" i="21"/>
  <c r="I10" i="25"/>
  <c r="L19" i="20"/>
  <c r="G17" i="21"/>
  <c r="M15" i="20"/>
  <c r="F19" i="24"/>
  <c r="C11" i="25"/>
  <c r="F21" i="20"/>
  <c r="F20" i="20"/>
  <c r="E16" i="26"/>
  <c r="F16" i="26" s="1"/>
  <c r="J23" i="27"/>
  <c r="K16" i="27"/>
  <c r="J16" i="27"/>
  <c r="I16" i="27"/>
  <c r="G16" i="27"/>
  <c r="G40" i="1"/>
  <c r="L35" i="10"/>
  <c r="L39" i="10" s="1"/>
  <c r="J35" i="10"/>
  <c r="J39" i="10" s="1"/>
  <c r="M35" i="10"/>
  <c r="M39" i="10" s="1"/>
  <c r="K39" i="10"/>
  <c r="I35" i="10"/>
  <c r="I39" i="10" s="1"/>
  <c r="K44" i="4"/>
  <c r="J44" i="4"/>
  <c r="M18" i="1"/>
  <c r="M44" i="1"/>
  <c r="M23" i="1"/>
  <c r="M19" i="1"/>
  <c r="F46" i="8"/>
  <c r="F42" i="8" s="1"/>
  <c r="F45" i="8"/>
  <c r="F41" i="8" s="1"/>
  <c r="F48" i="2"/>
  <c r="F40" i="2"/>
  <c r="N40" i="2" s="1"/>
  <c r="F47" i="2"/>
  <c r="F43" i="2" s="1"/>
  <c r="F46" i="2"/>
  <c r="F42" i="2" s="1"/>
  <c r="F45" i="2"/>
  <c r="F41" i="2" s="1"/>
  <c r="M10" i="2"/>
  <c r="I10" i="2"/>
  <c r="H10" i="2"/>
  <c r="F45" i="10"/>
  <c r="F41" i="10" s="1"/>
  <c r="F48" i="10"/>
  <c r="K48" i="10" s="1"/>
  <c r="F46" i="10"/>
  <c r="F47" i="10"/>
  <c r="F43" i="10" s="1"/>
  <c r="G20" i="8"/>
  <c r="E16" i="8"/>
  <c r="G16" i="8" s="1"/>
  <c r="J45" i="4"/>
  <c r="N14" i="1"/>
  <c r="H35" i="9"/>
  <c r="H39" i="9" s="1"/>
  <c r="N22" i="1"/>
  <c r="G22" i="1"/>
  <c r="M22" i="1" s="1"/>
  <c r="E23" i="1"/>
  <c r="G23" i="1" s="1"/>
  <c r="L23" i="1" s="1"/>
  <c r="E21" i="1"/>
  <c r="E20" i="1"/>
  <c r="E23" i="8"/>
  <c r="G23" i="8" s="1"/>
  <c r="E15" i="8"/>
  <c r="G15" i="8" s="1"/>
  <c r="E22" i="8"/>
  <c r="E21" i="8"/>
  <c r="G19" i="8"/>
  <c r="E18" i="10"/>
  <c r="G18" i="10" s="1"/>
  <c r="K18" i="10" s="1"/>
  <c r="G22" i="10"/>
  <c r="H35" i="3"/>
  <c r="H39" i="3" s="1"/>
  <c r="L35" i="3"/>
  <c r="L39" i="3" s="1"/>
  <c r="J35" i="3"/>
  <c r="J39" i="3" s="1"/>
  <c r="F48" i="1"/>
  <c r="F47" i="1"/>
  <c r="F43" i="1" s="1"/>
  <c r="M43" i="1" s="1"/>
  <c r="F46" i="1"/>
  <c r="F42" i="1" s="1"/>
  <c r="F47" i="8"/>
  <c r="F43" i="8" s="1"/>
  <c r="K14" i="10"/>
  <c r="H10" i="23"/>
  <c r="F15" i="2"/>
  <c r="I35" i="3"/>
  <c r="I39" i="3" s="1"/>
  <c r="I20" i="8"/>
  <c r="I19" i="8"/>
  <c r="I15" i="8"/>
  <c r="K15" i="10"/>
  <c r="N10" i="10"/>
  <c r="I10" i="10"/>
  <c r="M10" i="10"/>
  <c r="K22" i="10"/>
  <c r="H10" i="10"/>
  <c r="K21" i="10"/>
  <c r="L10" i="10"/>
  <c r="K19" i="10"/>
  <c r="K17" i="10"/>
  <c r="K23" i="10"/>
  <c r="K44" i="10"/>
  <c r="K16" i="10"/>
  <c r="K40" i="10"/>
  <c r="J10" i="10"/>
  <c r="K15" i="4"/>
  <c r="K47" i="4"/>
  <c r="K41" i="4"/>
  <c r="K16" i="4"/>
  <c r="J42" i="4"/>
  <c r="I19" i="12"/>
  <c r="G19" i="12"/>
  <c r="K19" i="12"/>
  <c r="M19" i="12"/>
  <c r="L19" i="12"/>
  <c r="J19" i="12"/>
  <c r="H19" i="12"/>
  <c r="E17" i="14"/>
  <c r="F17" i="14" s="1"/>
  <c r="F21" i="14"/>
  <c r="K16" i="21"/>
  <c r="G10" i="24"/>
  <c r="L10" i="25"/>
  <c r="L10" i="27"/>
  <c r="L19" i="27" s="1"/>
  <c r="E15" i="27"/>
  <c r="F15" i="27" s="1"/>
  <c r="F20" i="27"/>
  <c r="L35" i="9"/>
  <c r="L39" i="9" s="1"/>
  <c r="J10" i="1"/>
  <c r="I10" i="1"/>
  <c r="K22" i="1"/>
  <c r="K18" i="1"/>
  <c r="H10" i="1"/>
  <c r="K44" i="1"/>
  <c r="K19" i="1"/>
  <c r="N10" i="9"/>
  <c r="N44" i="1"/>
  <c r="N23" i="1"/>
  <c r="N19" i="1"/>
  <c r="K19" i="9"/>
  <c r="J14" i="4"/>
  <c r="K14" i="4"/>
  <c r="L16" i="21"/>
  <c r="L10" i="24"/>
  <c r="F18" i="4"/>
  <c r="F18" i="1"/>
  <c r="F40" i="1"/>
  <c r="K39" i="3"/>
  <c r="N18" i="1"/>
  <c r="F45" i="1"/>
  <c r="F41" i="1" s="1"/>
  <c r="J10" i="2"/>
  <c r="K40" i="4"/>
  <c r="L45" i="3"/>
  <c r="K45" i="3"/>
  <c r="H45" i="3"/>
  <c r="N45" i="3"/>
  <c r="K15" i="9"/>
  <c r="G40" i="9"/>
  <c r="K40" i="9" s="1"/>
  <c r="I20" i="9"/>
  <c r="I19" i="9"/>
  <c r="I16" i="9"/>
  <c r="I15" i="9"/>
  <c r="I41" i="9"/>
  <c r="I40" i="9"/>
  <c r="I45" i="9"/>
  <c r="I44" i="9"/>
  <c r="F19" i="2"/>
  <c r="F19" i="9"/>
  <c r="M40" i="1"/>
  <c r="L35" i="2"/>
  <c r="L39" i="2" s="1"/>
  <c r="C36" i="10"/>
  <c r="I39" i="4"/>
  <c r="K39" i="4"/>
  <c r="J35" i="4"/>
  <c r="J39" i="4" s="1"/>
  <c r="N35" i="4"/>
  <c r="N39" i="4" s="1"/>
  <c r="M35" i="4"/>
  <c r="M39" i="4" s="1"/>
  <c r="M35" i="3"/>
  <c r="M39" i="3" s="1"/>
  <c r="F48" i="8"/>
  <c r="L10" i="2"/>
  <c r="J10" i="9"/>
  <c r="C11" i="2"/>
  <c r="I39" i="2" s="1"/>
  <c r="K48" i="4"/>
  <c r="M23" i="11"/>
  <c r="K15" i="3"/>
  <c r="J15" i="3"/>
  <c r="I15" i="3"/>
  <c r="H15" i="3"/>
  <c r="G40" i="3"/>
  <c r="J15" i="13"/>
  <c r="I15" i="13"/>
  <c r="H15" i="13"/>
  <c r="L15" i="13"/>
  <c r="M15" i="13"/>
  <c r="K15" i="13"/>
  <c r="G10" i="13"/>
  <c r="H18" i="13"/>
  <c r="I21" i="17"/>
  <c r="H21" i="17"/>
  <c r="G21" i="17"/>
  <c r="L21" i="17"/>
  <c r="K21" i="17"/>
  <c r="M21" i="17"/>
  <c r="J21" i="17"/>
  <c r="E20" i="2"/>
  <c r="E21" i="2"/>
  <c r="K42" i="4"/>
  <c r="J20" i="8"/>
  <c r="J19" i="8"/>
  <c r="J23" i="8"/>
  <c r="J16" i="8"/>
  <c r="L20" i="8"/>
  <c r="L19" i="8"/>
  <c r="L23" i="8"/>
  <c r="L16" i="8"/>
  <c r="H21" i="3"/>
  <c r="K21" i="3"/>
  <c r="I21" i="3"/>
  <c r="G46" i="3"/>
  <c r="E23" i="2"/>
  <c r="G23" i="2" s="1"/>
  <c r="K40" i="11"/>
  <c r="H40" i="11"/>
  <c r="N40" i="11"/>
  <c r="J41" i="4"/>
  <c r="M10" i="8"/>
  <c r="H10" i="8"/>
  <c r="G20" i="10"/>
  <c r="E16" i="10"/>
  <c r="G16" i="10" s="1"/>
  <c r="K45" i="4"/>
  <c r="N23" i="11"/>
  <c r="G48" i="11"/>
  <c r="K10" i="14"/>
  <c r="I10" i="14"/>
  <c r="J15" i="4"/>
  <c r="J22" i="4"/>
  <c r="J21" i="4"/>
  <c r="J20" i="4"/>
  <c r="J19" i="4"/>
  <c r="J18" i="4"/>
  <c r="J40" i="4"/>
  <c r="J23" i="4"/>
  <c r="J48" i="4"/>
  <c r="J17" i="4"/>
  <c r="J47" i="4"/>
  <c r="J16" i="4"/>
  <c r="J43" i="4"/>
  <c r="M18" i="16"/>
  <c r="L18" i="16"/>
  <c r="I18" i="16"/>
  <c r="H18" i="16"/>
  <c r="K18" i="16"/>
  <c r="J18" i="16"/>
  <c r="G18" i="16"/>
  <c r="F46" i="4"/>
  <c r="F42" i="4" s="1"/>
  <c r="F45" i="3"/>
  <c r="F41" i="3" s="1"/>
  <c r="K15" i="8"/>
  <c r="N10" i="8"/>
  <c r="M10" i="9"/>
  <c r="J23" i="11"/>
  <c r="E22" i="11"/>
  <c r="E21" i="11"/>
  <c r="E20" i="11"/>
  <c r="L16" i="3"/>
  <c r="L15" i="3"/>
  <c r="L21" i="3"/>
  <c r="L20" i="3"/>
  <c r="N22" i="3"/>
  <c r="N21" i="3"/>
  <c r="N23" i="3"/>
  <c r="N20" i="3"/>
  <c r="M19" i="13"/>
  <c r="L19" i="13"/>
  <c r="I19" i="13"/>
  <c r="H19" i="13"/>
  <c r="K19" i="13"/>
  <c r="M22" i="17"/>
  <c r="G22" i="3"/>
  <c r="E18" i="3"/>
  <c r="G18" i="3" s="1"/>
  <c r="L18" i="17"/>
  <c r="F21" i="18"/>
  <c r="E17" i="18"/>
  <c r="F17" i="18" s="1"/>
  <c r="K20" i="18"/>
  <c r="F22" i="19"/>
  <c r="M15" i="11"/>
  <c r="K23" i="11"/>
  <c r="K23" i="3"/>
  <c r="J23" i="3"/>
  <c r="H18" i="19"/>
  <c r="G18" i="19"/>
  <c r="J18" i="19"/>
  <c r="K20" i="9"/>
  <c r="N15" i="11"/>
  <c r="L15" i="11"/>
  <c r="K15" i="11"/>
  <c r="J15" i="11"/>
  <c r="I20" i="3"/>
  <c r="H20" i="3"/>
  <c r="G19" i="3"/>
  <c r="G16" i="3"/>
  <c r="J19" i="13"/>
  <c r="H23" i="16"/>
  <c r="M23" i="16"/>
  <c r="J23" i="16"/>
  <c r="I23" i="16"/>
  <c r="G23" i="16"/>
  <c r="J19" i="17"/>
  <c r="I19" i="17"/>
  <c r="H19" i="17"/>
  <c r="M19" i="17"/>
  <c r="L19" i="17"/>
  <c r="G19" i="17"/>
  <c r="E23" i="9"/>
  <c r="G23" i="9" s="1"/>
  <c r="E22" i="9"/>
  <c r="E21" i="9"/>
  <c r="M19" i="11"/>
  <c r="H23" i="11"/>
  <c r="H19" i="11"/>
  <c r="N10" i="4"/>
  <c r="I10" i="4"/>
  <c r="M10" i="4"/>
  <c r="K22" i="4"/>
  <c r="H10" i="4"/>
  <c r="K21" i="4"/>
  <c r="L10" i="4"/>
  <c r="K20" i="4"/>
  <c r="K19" i="4"/>
  <c r="K18" i="4"/>
  <c r="K23" i="4"/>
  <c r="K17" i="4"/>
  <c r="I23" i="3"/>
  <c r="E22" i="12"/>
  <c r="E21" i="12"/>
  <c r="E20" i="12"/>
  <c r="E23" i="12"/>
  <c r="F23" i="12" s="1"/>
  <c r="E15" i="12"/>
  <c r="F15" i="12" s="1"/>
  <c r="K23" i="16"/>
  <c r="J16" i="18"/>
  <c r="I16" i="18"/>
  <c r="N19" i="11"/>
  <c r="K19" i="14"/>
  <c r="J19" i="14"/>
  <c r="I19" i="14"/>
  <c r="G22" i="16"/>
  <c r="J15" i="17"/>
  <c r="L22" i="17"/>
  <c r="I10" i="18"/>
  <c r="K10" i="18"/>
  <c r="M10" i="3"/>
  <c r="E23" i="14"/>
  <c r="F23" i="14" s="1"/>
  <c r="E15" i="14"/>
  <c r="F15" i="14" s="1"/>
  <c r="E22" i="14"/>
  <c r="E21" i="15"/>
  <c r="E20" i="15"/>
  <c r="F19" i="15"/>
  <c r="E23" i="15"/>
  <c r="F23" i="15" s="1"/>
  <c r="E15" i="15"/>
  <c r="F15" i="15" s="1"/>
  <c r="M19" i="16"/>
  <c r="L19" i="16"/>
  <c r="K19" i="16"/>
  <c r="H19" i="16"/>
  <c r="G19" i="16"/>
  <c r="H22" i="16"/>
  <c r="G18" i="17"/>
  <c r="J15" i="18"/>
  <c r="I18" i="18"/>
  <c r="F22" i="18"/>
  <c r="E23" i="19"/>
  <c r="F23" i="19" s="1"/>
  <c r="E15" i="19"/>
  <c r="F15" i="19" s="1"/>
  <c r="E20" i="19"/>
  <c r="F19" i="19"/>
  <c r="L10" i="9"/>
  <c r="E17" i="3"/>
  <c r="G17" i="3" s="1"/>
  <c r="E20" i="14"/>
  <c r="M15" i="17"/>
  <c r="L15" i="17"/>
  <c r="I15" i="17"/>
  <c r="H15" i="17"/>
  <c r="H18" i="17"/>
  <c r="F20" i="17"/>
  <c r="H22" i="17"/>
  <c r="G22" i="17"/>
  <c r="K22" i="17"/>
  <c r="J22" i="17"/>
  <c r="H10" i="9"/>
  <c r="I19" i="11"/>
  <c r="G18" i="13"/>
  <c r="M18" i="13"/>
  <c r="J18" i="13"/>
  <c r="I18" i="13"/>
  <c r="K22" i="16"/>
  <c r="J22" i="16"/>
  <c r="I22" i="16"/>
  <c r="M22" i="16"/>
  <c r="I16" i="17"/>
  <c r="L23" i="17"/>
  <c r="G23" i="17"/>
  <c r="K23" i="17"/>
  <c r="J23" i="17"/>
  <c r="H23" i="17"/>
  <c r="J20" i="18"/>
  <c r="E21" i="19"/>
  <c r="J19" i="11"/>
  <c r="F20" i="13"/>
  <c r="E16" i="13"/>
  <c r="F16" i="13" s="1"/>
  <c r="I23" i="13"/>
  <c r="H23" i="13"/>
  <c r="K23" i="13"/>
  <c r="J23" i="13"/>
  <c r="K18" i="17"/>
  <c r="J18" i="17"/>
  <c r="I18" i="17"/>
  <c r="M18" i="17"/>
  <c r="I23" i="17"/>
  <c r="J18" i="18"/>
  <c r="F22" i="15"/>
  <c r="E18" i="15"/>
  <c r="F18" i="15" s="1"/>
  <c r="M16" i="17"/>
  <c r="L16" i="17"/>
  <c r="K16" i="17"/>
  <c r="H16" i="17"/>
  <c r="G16" i="17"/>
  <c r="L17" i="17"/>
  <c r="K17" i="17"/>
  <c r="J17" i="17"/>
  <c r="G17" i="17"/>
  <c r="E21" i="13"/>
  <c r="F22" i="13"/>
  <c r="E20" i="16"/>
  <c r="I19" i="18"/>
  <c r="K10" i="19"/>
  <c r="E21" i="16"/>
  <c r="J19" i="18"/>
  <c r="E15" i="16"/>
  <c r="F15" i="16" s="1"/>
  <c r="K15" i="25" l="1"/>
  <c r="J15" i="25"/>
  <c r="I15" i="25"/>
  <c r="H15" i="25"/>
  <c r="M15" i="25"/>
  <c r="L15" i="25"/>
  <c r="G15" i="25"/>
  <c r="K23" i="9"/>
  <c r="G48" i="9"/>
  <c r="L48" i="9" s="1"/>
  <c r="F23" i="9"/>
  <c r="I19" i="3"/>
  <c r="H19" i="3"/>
  <c r="J19" i="3"/>
  <c r="G44" i="3"/>
  <c r="K19" i="3"/>
  <c r="F19" i="3"/>
  <c r="K17" i="14"/>
  <c r="H17" i="14"/>
  <c r="J17" i="14"/>
  <c r="I17" i="14"/>
  <c r="H23" i="26"/>
  <c r="L23" i="26"/>
  <c r="G23" i="26"/>
  <c r="K23" i="26"/>
  <c r="J23" i="26"/>
  <c r="I23" i="26"/>
  <c r="M23" i="26"/>
  <c r="M19" i="27"/>
  <c r="M16" i="27"/>
  <c r="I16" i="13"/>
  <c r="H16" i="13"/>
  <c r="G16" i="13"/>
  <c r="L16" i="13"/>
  <c r="K16" i="13"/>
  <c r="J16" i="13"/>
  <c r="M16" i="13"/>
  <c r="H23" i="19"/>
  <c r="G23" i="19"/>
  <c r="I23" i="19"/>
  <c r="K23" i="19"/>
  <c r="J23" i="19"/>
  <c r="H15" i="8"/>
  <c r="H23" i="8"/>
  <c r="H22" i="8"/>
  <c r="H19" i="8"/>
  <c r="H16" i="8"/>
  <c r="H20" i="8"/>
  <c r="H14" i="8"/>
  <c r="G22" i="8"/>
  <c r="E18" i="8"/>
  <c r="G18" i="8" s="1"/>
  <c r="K43" i="1"/>
  <c r="M22" i="27"/>
  <c r="E17" i="16"/>
  <c r="F17" i="16" s="1"/>
  <c r="F21" i="16"/>
  <c r="M22" i="15"/>
  <c r="L22" i="15"/>
  <c r="I22" i="15"/>
  <c r="H22" i="15"/>
  <c r="K22" i="15"/>
  <c r="J22" i="15"/>
  <c r="G22" i="15"/>
  <c r="M20" i="13"/>
  <c r="L20" i="13"/>
  <c r="I20" i="13"/>
  <c r="H20" i="13"/>
  <c r="K20" i="13"/>
  <c r="J20" i="13"/>
  <c r="G20" i="13"/>
  <c r="K22" i="18"/>
  <c r="H22" i="18"/>
  <c r="J22" i="18"/>
  <c r="I22" i="18"/>
  <c r="F20" i="15"/>
  <c r="E16" i="15"/>
  <c r="F16" i="15" s="1"/>
  <c r="H10" i="18"/>
  <c r="I14" i="18"/>
  <c r="I21" i="18"/>
  <c r="K21" i="18"/>
  <c r="J21" i="18"/>
  <c r="G20" i="11"/>
  <c r="E16" i="11"/>
  <c r="G16" i="11" s="1"/>
  <c r="H10" i="14"/>
  <c r="I14" i="14"/>
  <c r="M23" i="8"/>
  <c r="M18" i="8"/>
  <c r="M16" i="8"/>
  <c r="M15" i="8"/>
  <c r="M22" i="8"/>
  <c r="M19" i="8"/>
  <c r="M14" i="8"/>
  <c r="M20" i="8"/>
  <c r="E17" i="2"/>
  <c r="G17" i="2" s="1"/>
  <c r="G21" i="2"/>
  <c r="J45" i="3"/>
  <c r="K23" i="1"/>
  <c r="L22" i="10"/>
  <c r="L21" i="10"/>
  <c r="L20" i="10"/>
  <c r="L19" i="10"/>
  <c r="L18" i="10"/>
  <c r="L40" i="10"/>
  <c r="L17" i="10"/>
  <c r="L46" i="10"/>
  <c r="L16" i="10"/>
  <c r="L47" i="10"/>
  <c r="L44" i="10"/>
  <c r="L48" i="10"/>
  <c r="L41" i="10"/>
  <c r="L45" i="10"/>
  <c r="L23" i="10"/>
  <c r="L14" i="10"/>
  <c r="L15" i="10"/>
  <c r="G40" i="8"/>
  <c r="F15" i="8"/>
  <c r="L15" i="8"/>
  <c r="J15" i="8"/>
  <c r="H40" i="2"/>
  <c r="H47" i="2"/>
  <c r="H21" i="2"/>
  <c r="H19" i="2"/>
  <c r="H18" i="2"/>
  <c r="H43" i="2"/>
  <c r="H17" i="2"/>
  <c r="H15" i="2"/>
  <c r="H44" i="2"/>
  <c r="H14" i="2"/>
  <c r="H23" i="2"/>
  <c r="H22" i="2"/>
  <c r="K40" i="2"/>
  <c r="M19" i="24"/>
  <c r="L19" i="24"/>
  <c r="K19" i="24"/>
  <c r="I19" i="24"/>
  <c r="J19" i="24"/>
  <c r="H19" i="24"/>
  <c r="G19" i="24"/>
  <c r="M17" i="21"/>
  <c r="L23" i="28"/>
  <c r="G23" i="28"/>
  <c r="K23" i="28"/>
  <c r="J23" i="28"/>
  <c r="I23" i="28"/>
  <c r="M23" i="28"/>
  <c r="H23" i="28"/>
  <c r="E17" i="23"/>
  <c r="F17" i="23" s="1"/>
  <c r="F21" i="23"/>
  <c r="E17" i="25"/>
  <c r="F17" i="25" s="1"/>
  <c r="F21" i="25"/>
  <c r="G21" i="27"/>
  <c r="K47" i="2"/>
  <c r="M15" i="23"/>
  <c r="L15" i="23"/>
  <c r="K15" i="23"/>
  <c r="J15" i="23"/>
  <c r="H15" i="23"/>
  <c r="I15" i="23"/>
  <c r="G15" i="23"/>
  <c r="E16" i="24"/>
  <c r="F16" i="24" s="1"/>
  <c r="F20" i="24"/>
  <c r="J23" i="15"/>
  <c r="I23" i="15"/>
  <c r="M23" i="15"/>
  <c r="L23" i="15"/>
  <c r="G23" i="15"/>
  <c r="K23" i="15"/>
  <c r="H23" i="15"/>
  <c r="G45" i="10"/>
  <c r="K45" i="10" s="1"/>
  <c r="F20" i="10"/>
  <c r="H19" i="15"/>
  <c r="G19" i="15"/>
  <c r="K19" i="15"/>
  <c r="J19" i="15"/>
  <c r="M19" i="15"/>
  <c r="L19" i="15"/>
  <c r="I19" i="15"/>
  <c r="I17" i="18"/>
  <c r="H17" i="18"/>
  <c r="K17" i="18"/>
  <c r="J17" i="18"/>
  <c r="K20" i="10"/>
  <c r="E16" i="23"/>
  <c r="F16" i="23" s="1"/>
  <c r="F20" i="23"/>
  <c r="H23" i="21"/>
  <c r="L21" i="27"/>
  <c r="G19" i="27"/>
  <c r="G18" i="27"/>
  <c r="I15" i="21"/>
  <c r="L10" i="19"/>
  <c r="K14" i="19"/>
  <c r="H23" i="9"/>
  <c r="H21" i="9"/>
  <c r="H17" i="9"/>
  <c r="H16" i="9"/>
  <c r="H15" i="9"/>
  <c r="H20" i="9"/>
  <c r="H41" i="9"/>
  <c r="H40" i="9"/>
  <c r="H48" i="9"/>
  <c r="H19" i="9"/>
  <c r="H14" i="9"/>
  <c r="H45" i="9"/>
  <c r="H44" i="9"/>
  <c r="F20" i="14"/>
  <c r="E16" i="14"/>
  <c r="F16" i="14" s="1"/>
  <c r="F21" i="15"/>
  <c r="E17" i="15"/>
  <c r="F17" i="15" s="1"/>
  <c r="M21" i="4"/>
  <c r="M20" i="4"/>
  <c r="M19" i="4"/>
  <c r="M23" i="4"/>
  <c r="M18" i="4"/>
  <c r="M17" i="4"/>
  <c r="M16" i="4"/>
  <c r="M15" i="4"/>
  <c r="M46" i="4"/>
  <c r="M45" i="4"/>
  <c r="M44" i="4"/>
  <c r="M43" i="4"/>
  <c r="M42" i="4"/>
  <c r="M22" i="4"/>
  <c r="M40" i="4"/>
  <c r="M41" i="4"/>
  <c r="M47" i="4"/>
  <c r="M48" i="4"/>
  <c r="M14" i="4"/>
  <c r="K18" i="19"/>
  <c r="G21" i="11"/>
  <c r="E17" i="11"/>
  <c r="G17" i="11" s="1"/>
  <c r="L10" i="14"/>
  <c r="K14" i="14"/>
  <c r="E16" i="2"/>
  <c r="G16" i="2" s="1"/>
  <c r="H16" i="2" s="1"/>
  <c r="G20" i="2"/>
  <c r="M20" i="2" s="1"/>
  <c r="K46" i="4"/>
  <c r="J39" i="2"/>
  <c r="K23" i="8"/>
  <c r="G48" i="8"/>
  <c r="M48" i="8" s="1"/>
  <c r="F23" i="8"/>
  <c r="I47" i="2"/>
  <c r="I44" i="2"/>
  <c r="I21" i="2"/>
  <c r="I40" i="2"/>
  <c r="I22" i="2"/>
  <c r="I18" i="2"/>
  <c r="I14" i="2"/>
  <c r="I43" i="2"/>
  <c r="I23" i="2"/>
  <c r="I19" i="2"/>
  <c r="I15" i="2"/>
  <c r="I20" i="2"/>
  <c r="N43" i="2"/>
  <c r="I23" i="21"/>
  <c r="L23" i="27"/>
  <c r="M18" i="20"/>
  <c r="G18" i="20"/>
  <c r="L18" i="20"/>
  <c r="J18" i="20"/>
  <c r="I18" i="20"/>
  <c r="K18" i="20"/>
  <c r="H18" i="20"/>
  <c r="E17" i="24"/>
  <c r="F17" i="24" s="1"/>
  <c r="F21" i="24"/>
  <c r="L22" i="23"/>
  <c r="K22" i="23"/>
  <c r="J22" i="23"/>
  <c r="I22" i="23"/>
  <c r="G22" i="23"/>
  <c r="H22" i="23"/>
  <c r="M22" i="23"/>
  <c r="J18" i="3"/>
  <c r="I18" i="3"/>
  <c r="H18" i="3"/>
  <c r="L18" i="3"/>
  <c r="K18" i="3"/>
  <c r="F18" i="3"/>
  <c r="G43" i="3"/>
  <c r="G22" i="11"/>
  <c r="E18" i="11"/>
  <c r="G18" i="11" s="1"/>
  <c r="G23" i="13"/>
  <c r="G19" i="13"/>
  <c r="G14" i="13"/>
  <c r="K22" i="2"/>
  <c r="K18" i="2"/>
  <c r="K14" i="2"/>
  <c r="K39" i="2"/>
  <c r="N19" i="2"/>
  <c r="N15" i="2"/>
  <c r="N14" i="2"/>
  <c r="H39" i="2"/>
  <c r="I23" i="9"/>
  <c r="H18" i="10"/>
  <c r="H17" i="10"/>
  <c r="H16" i="10"/>
  <c r="H15" i="10"/>
  <c r="H23" i="10"/>
  <c r="H45" i="10"/>
  <c r="H44" i="10"/>
  <c r="H22" i="10"/>
  <c r="H20" i="10"/>
  <c r="H41" i="10"/>
  <c r="H48" i="10"/>
  <c r="H46" i="10"/>
  <c r="H21" i="10"/>
  <c r="H47" i="10"/>
  <c r="H19" i="10"/>
  <c r="H14" i="10"/>
  <c r="H40" i="10"/>
  <c r="H42" i="10"/>
  <c r="I23" i="8"/>
  <c r="E16" i="1"/>
  <c r="G16" i="1" s="1"/>
  <c r="G20" i="1"/>
  <c r="J20" i="1" s="1"/>
  <c r="G41" i="8"/>
  <c r="N41" i="8" s="1"/>
  <c r="K16" i="8"/>
  <c r="I16" i="8"/>
  <c r="F16" i="8"/>
  <c r="M47" i="2"/>
  <c r="M43" i="2"/>
  <c r="M40" i="2"/>
  <c r="M23" i="2"/>
  <c r="M19" i="2"/>
  <c r="M15" i="2"/>
  <c r="M16" i="2"/>
  <c r="M44" i="2"/>
  <c r="M22" i="2"/>
  <c r="M18" i="2"/>
  <c r="M17" i="2"/>
  <c r="M14" i="2"/>
  <c r="L16" i="27"/>
  <c r="K16" i="20"/>
  <c r="J16" i="20"/>
  <c r="I16" i="20"/>
  <c r="H16" i="20"/>
  <c r="G16" i="20"/>
  <c r="L16" i="20"/>
  <c r="M16" i="20"/>
  <c r="F20" i="28"/>
  <c r="E16" i="28"/>
  <c r="F16" i="28" s="1"/>
  <c r="E18" i="25"/>
  <c r="F22" i="25"/>
  <c r="I21" i="27"/>
  <c r="J15" i="24"/>
  <c r="I15" i="24"/>
  <c r="H15" i="24"/>
  <c r="G15" i="24"/>
  <c r="M15" i="24"/>
  <c r="L15" i="24"/>
  <c r="K15" i="24"/>
  <c r="K43" i="2"/>
  <c r="L15" i="21"/>
  <c r="I22" i="27"/>
  <c r="J23" i="23"/>
  <c r="I23" i="23"/>
  <c r="M23" i="23"/>
  <c r="L23" i="23"/>
  <c r="H23" i="23"/>
  <c r="K23" i="23"/>
  <c r="G23" i="23"/>
  <c r="I15" i="16"/>
  <c r="H15" i="16"/>
  <c r="G15" i="16"/>
  <c r="L15" i="16"/>
  <c r="K15" i="16"/>
  <c r="M15" i="16"/>
  <c r="J15" i="16"/>
  <c r="N16" i="8"/>
  <c r="N15" i="8"/>
  <c r="N21" i="8"/>
  <c r="N19" i="8"/>
  <c r="N23" i="8"/>
  <c r="N20" i="8"/>
  <c r="N40" i="8"/>
  <c r="N18" i="8"/>
  <c r="N48" i="8"/>
  <c r="N22" i="8"/>
  <c r="N14" i="8"/>
  <c r="N21" i="10"/>
  <c r="N23" i="10"/>
  <c r="N20" i="10"/>
  <c r="N19" i="10"/>
  <c r="N18" i="10"/>
  <c r="N17" i="10"/>
  <c r="N16" i="10"/>
  <c r="N22" i="10"/>
  <c r="N15" i="10"/>
  <c r="N43" i="10"/>
  <c r="N41" i="10"/>
  <c r="N48" i="10"/>
  <c r="N45" i="10"/>
  <c r="N44" i="10"/>
  <c r="N46" i="10"/>
  <c r="N40" i="10"/>
  <c r="N14" i="10"/>
  <c r="G21" i="8"/>
  <c r="E17" i="8"/>
  <c r="G17" i="8" s="1"/>
  <c r="F20" i="25"/>
  <c r="E16" i="25"/>
  <c r="F16" i="25" s="1"/>
  <c r="H16" i="21"/>
  <c r="H17" i="21"/>
  <c r="H15" i="21"/>
  <c r="L10" i="18"/>
  <c r="K19" i="18"/>
  <c r="K14" i="18"/>
  <c r="K17" i="3"/>
  <c r="J17" i="3"/>
  <c r="I17" i="3"/>
  <c r="H17" i="3"/>
  <c r="G42" i="3"/>
  <c r="L17" i="3"/>
  <c r="F17" i="3"/>
  <c r="E18" i="14"/>
  <c r="F18" i="14" s="1"/>
  <c r="F22" i="14"/>
  <c r="M15" i="12"/>
  <c r="G15" i="12"/>
  <c r="H15" i="12"/>
  <c r="I15" i="12"/>
  <c r="J15" i="12"/>
  <c r="K15" i="12"/>
  <c r="L15" i="12"/>
  <c r="I16" i="4"/>
  <c r="I23" i="4"/>
  <c r="I15" i="4"/>
  <c r="I22" i="4"/>
  <c r="I21" i="4"/>
  <c r="I20" i="4"/>
  <c r="I19" i="4"/>
  <c r="I41" i="4"/>
  <c r="I40" i="4"/>
  <c r="I48" i="4"/>
  <c r="I17" i="4"/>
  <c r="I47" i="4"/>
  <c r="I45" i="4"/>
  <c r="I44" i="4"/>
  <c r="I18" i="4"/>
  <c r="I43" i="4"/>
  <c r="I14" i="4"/>
  <c r="I46" i="4"/>
  <c r="I42" i="4"/>
  <c r="L19" i="3"/>
  <c r="L48" i="11"/>
  <c r="K48" i="11"/>
  <c r="J48" i="11"/>
  <c r="I48" i="11"/>
  <c r="N48" i="11"/>
  <c r="M48" i="11"/>
  <c r="H48" i="11"/>
  <c r="I40" i="3"/>
  <c r="H40" i="3"/>
  <c r="N40" i="3"/>
  <c r="L40" i="3"/>
  <c r="K40" i="3"/>
  <c r="J40" i="3"/>
  <c r="N43" i="1"/>
  <c r="H47" i="1"/>
  <c r="H43" i="1"/>
  <c r="H18" i="1"/>
  <c r="H44" i="1"/>
  <c r="H19" i="1"/>
  <c r="H40" i="1"/>
  <c r="H14" i="1"/>
  <c r="H16" i="1"/>
  <c r="H15" i="1"/>
  <c r="H23" i="1"/>
  <c r="H22" i="1"/>
  <c r="J43" i="1"/>
  <c r="J47" i="1"/>
  <c r="J14" i="1"/>
  <c r="J16" i="1"/>
  <c r="J15" i="1"/>
  <c r="J18" i="1"/>
  <c r="J23" i="1"/>
  <c r="J40" i="1"/>
  <c r="J22" i="1"/>
  <c r="J19" i="1"/>
  <c r="J44" i="1"/>
  <c r="E16" i="16"/>
  <c r="F16" i="16" s="1"/>
  <c r="F20" i="16"/>
  <c r="J20" i="17"/>
  <c r="I20" i="17"/>
  <c r="H20" i="17"/>
  <c r="M20" i="17"/>
  <c r="L20" i="17"/>
  <c r="K20" i="17"/>
  <c r="G20" i="17"/>
  <c r="L20" i="9"/>
  <c r="L19" i="9"/>
  <c r="L23" i="9"/>
  <c r="L17" i="9"/>
  <c r="L16" i="9"/>
  <c r="L15" i="9"/>
  <c r="L45" i="9"/>
  <c r="L44" i="9"/>
  <c r="L41" i="9"/>
  <c r="L22" i="9"/>
  <c r="L40" i="9"/>
  <c r="L14" i="9"/>
  <c r="K15" i="18"/>
  <c r="J15" i="14"/>
  <c r="I15" i="14"/>
  <c r="L15" i="14"/>
  <c r="K15" i="14"/>
  <c r="H15" i="14"/>
  <c r="K16" i="18"/>
  <c r="K23" i="12"/>
  <c r="J23" i="12"/>
  <c r="M23" i="12"/>
  <c r="H23" i="12"/>
  <c r="G23" i="12"/>
  <c r="I23" i="12"/>
  <c r="L23" i="12"/>
  <c r="N23" i="4"/>
  <c r="N20" i="4"/>
  <c r="N19" i="4"/>
  <c r="N18" i="4"/>
  <c r="N17" i="4"/>
  <c r="N16" i="4"/>
  <c r="N15" i="4"/>
  <c r="N21" i="4"/>
  <c r="N45" i="4"/>
  <c r="N44" i="4"/>
  <c r="N43" i="4"/>
  <c r="N42" i="4"/>
  <c r="N41" i="4"/>
  <c r="N48" i="4"/>
  <c r="N22" i="4"/>
  <c r="N47" i="4"/>
  <c r="N40" i="4"/>
  <c r="N46" i="4"/>
  <c r="N14" i="4"/>
  <c r="K22" i="3"/>
  <c r="J22" i="3"/>
  <c r="H22" i="3"/>
  <c r="G47" i="3"/>
  <c r="I22" i="3"/>
  <c r="F22" i="3"/>
  <c r="N17" i="3"/>
  <c r="J46" i="4"/>
  <c r="G15" i="13"/>
  <c r="J20" i="9"/>
  <c r="J19" i="9"/>
  <c r="J23" i="9"/>
  <c r="J15" i="9"/>
  <c r="J18" i="9"/>
  <c r="J40" i="9"/>
  <c r="J16" i="9"/>
  <c r="J45" i="9"/>
  <c r="J41" i="9"/>
  <c r="J14" i="9"/>
  <c r="J44" i="9"/>
  <c r="K44" i="2"/>
  <c r="K19" i="2"/>
  <c r="G47" i="10"/>
  <c r="K47" i="10" s="1"/>
  <c r="F22" i="10"/>
  <c r="G21" i="1"/>
  <c r="E17" i="1"/>
  <c r="G17" i="1" s="1"/>
  <c r="J17" i="1" s="1"/>
  <c r="K20" i="8"/>
  <c r="G45" i="8"/>
  <c r="M45" i="8" s="1"/>
  <c r="F20" i="8"/>
  <c r="M39" i="2"/>
  <c r="F21" i="26"/>
  <c r="E17" i="26"/>
  <c r="F17" i="26" s="1"/>
  <c r="E17" i="28"/>
  <c r="F17" i="28" s="1"/>
  <c r="F21" i="28"/>
  <c r="I18" i="27"/>
  <c r="M23" i="27"/>
  <c r="F23" i="25"/>
  <c r="K21" i="21"/>
  <c r="K20" i="21"/>
  <c r="J22" i="27"/>
  <c r="F22" i="24"/>
  <c r="H15" i="19"/>
  <c r="G15" i="19"/>
  <c r="K15" i="19"/>
  <c r="J15" i="19"/>
  <c r="I15" i="19"/>
  <c r="L15" i="19"/>
  <c r="F22" i="12"/>
  <c r="E18" i="12"/>
  <c r="F18" i="12" s="1"/>
  <c r="L46" i="3"/>
  <c r="K46" i="3"/>
  <c r="J46" i="3"/>
  <c r="I46" i="3"/>
  <c r="H46" i="3"/>
  <c r="N46" i="3"/>
  <c r="I20" i="1"/>
  <c r="I16" i="1"/>
  <c r="I43" i="1"/>
  <c r="I17" i="1"/>
  <c r="I22" i="1"/>
  <c r="I18" i="1"/>
  <c r="I44" i="1"/>
  <c r="I19" i="1"/>
  <c r="I14" i="1"/>
  <c r="I47" i="1"/>
  <c r="I23" i="1"/>
  <c r="I15" i="1"/>
  <c r="I40" i="1"/>
  <c r="J21" i="20"/>
  <c r="I21" i="20"/>
  <c r="H21" i="20"/>
  <c r="G21" i="20"/>
  <c r="M21" i="20"/>
  <c r="L21" i="20"/>
  <c r="K21" i="20"/>
  <c r="L22" i="27"/>
  <c r="I18" i="15"/>
  <c r="H18" i="15"/>
  <c r="G18" i="15"/>
  <c r="L18" i="15"/>
  <c r="K18" i="15"/>
  <c r="M18" i="15"/>
  <c r="J18" i="15"/>
  <c r="H17" i="4"/>
  <c r="H16" i="4"/>
  <c r="H15" i="4"/>
  <c r="H23" i="4"/>
  <c r="H22" i="4"/>
  <c r="H21" i="4"/>
  <c r="H18" i="4"/>
  <c r="H42" i="4"/>
  <c r="H41" i="4"/>
  <c r="H40" i="4"/>
  <c r="H20" i="4"/>
  <c r="H48" i="4"/>
  <c r="H19" i="4"/>
  <c r="H46" i="4"/>
  <c r="H43" i="4"/>
  <c r="H45" i="4"/>
  <c r="H44" i="4"/>
  <c r="H47" i="4"/>
  <c r="H14" i="4"/>
  <c r="K18" i="18"/>
  <c r="K23" i="18"/>
  <c r="L22" i="13"/>
  <c r="K22" i="13"/>
  <c r="J22" i="13"/>
  <c r="G22" i="13"/>
  <c r="M22" i="13"/>
  <c r="I22" i="13"/>
  <c r="H22" i="13"/>
  <c r="F21" i="19"/>
  <c r="E17" i="19"/>
  <c r="F17" i="19" s="1"/>
  <c r="L19" i="19"/>
  <c r="K19" i="19"/>
  <c r="J19" i="19"/>
  <c r="G19" i="19"/>
  <c r="I19" i="19"/>
  <c r="H19" i="19"/>
  <c r="E16" i="12"/>
  <c r="F16" i="12" s="1"/>
  <c r="F20" i="12"/>
  <c r="G21" i="9"/>
  <c r="L21" i="9" s="1"/>
  <c r="E17" i="9"/>
  <c r="G17" i="9" s="1"/>
  <c r="N18" i="3"/>
  <c r="J47" i="2"/>
  <c r="J44" i="2"/>
  <c r="J43" i="2"/>
  <c r="J40" i="2"/>
  <c r="J22" i="2"/>
  <c r="J18" i="2"/>
  <c r="J23" i="2"/>
  <c r="J14" i="2"/>
  <c r="J19" i="2"/>
  <c r="J15" i="2"/>
  <c r="J16" i="2"/>
  <c r="H20" i="27"/>
  <c r="G20" i="27"/>
  <c r="M20" i="27"/>
  <c r="K20" i="27"/>
  <c r="L20" i="27"/>
  <c r="J20" i="27"/>
  <c r="I20" i="27"/>
  <c r="K15" i="2"/>
  <c r="J23" i="10"/>
  <c r="J16" i="10"/>
  <c r="J15" i="10"/>
  <c r="J22" i="10"/>
  <c r="J21" i="10"/>
  <c r="J20" i="10"/>
  <c r="J18" i="10"/>
  <c r="J42" i="10"/>
  <c r="J48" i="10"/>
  <c r="J46" i="10"/>
  <c r="J44" i="10"/>
  <c r="J40" i="10"/>
  <c r="J41" i="10"/>
  <c r="J19" i="10"/>
  <c r="J14" i="10"/>
  <c r="J17" i="10"/>
  <c r="J43" i="10"/>
  <c r="J45" i="10"/>
  <c r="M22" i="10"/>
  <c r="M21" i="10"/>
  <c r="M20" i="10"/>
  <c r="M19" i="10"/>
  <c r="M23" i="10"/>
  <c r="M18" i="10"/>
  <c r="M17" i="10"/>
  <c r="M48" i="10"/>
  <c r="M15" i="10"/>
  <c r="M45" i="10"/>
  <c r="M44" i="10"/>
  <c r="M16" i="10"/>
  <c r="M42" i="10"/>
  <c r="M40" i="10"/>
  <c r="M41" i="10"/>
  <c r="M46" i="10"/>
  <c r="M14" i="10"/>
  <c r="G43" i="10"/>
  <c r="K43" i="10" s="1"/>
  <c r="F18" i="10"/>
  <c r="G48" i="1"/>
  <c r="J48" i="1" s="1"/>
  <c r="F23" i="1"/>
  <c r="J16" i="26"/>
  <c r="I16" i="26"/>
  <c r="H16" i="26"/>
  <c r="G16" i="26"/>
  <c r="M16" i="26"/>
  <c r="K16" i="26"/>
  <c r="L16" i="26"/>
  <c r="N47" i="2"/>
  <c r="M21" i="21"/>
  <c r="M15" i="21"/>
  <c r="M20" i="21"/>
  <c r="E18" i="28"/>
  <c r="F18" i="28" s="1"/>
  <c r="F22" i="28"/>
  <c r="H20" i="21"/>
  <c r="M23" i="24"/>
  <c r="H23" i="24"/>
  <c r="L23" i="24"/>
  <c r="G23" i="24"/>
  <c r="J23" i="24"/>
  <c r="K23" i="24"/>
  <c r="I23" i="24"/>
  <c r="L43" i="1"/>
  <c r="M17" i="27"/>
  <c r="L17" i="27"/>
  <c r="K17" i="27"/>
  <c r="J17" i="27"/>
  <c r="H17" i="27"/>
  <c r="I17" i="27"/>
  <c r="G17" i="27"/>
  <c r="J19" i="27"/>
  <c r="J18" i="27"/>
  <c r="F18" i="21"/>
  <c r="F19" i="21"/>
  <c r="K21" i="27"/>
  <c r="F19" i="23"/>
  <c r="N39" i="2"/>
  <c r="L23" i="14"/>
  <c r="K23" i="14"/>
  <c r="I23" i="14"/>
  <c r="J23" i="14"/>
  <c r="H23" i="14"/>
  <c r="L44" i="2"/>
  <c r="L43" i="2"/>
  <c r="L14" i="2"/>
  <c r="L23" i="2"/>
  <c r="L19" i="2"/>
  <c r="L15" i="2"/>
  <c r="L16" i="2"/>
  <c r="L47" i="2"/>
  <c r="L40" i="2"/>
  <c r="L22" i="2"/>
  <c r="L18" i="2"/>
  <c r="E17" i="13"/>
  <c r="F17" i="13" s="1"/>
  <c r="F21" i="13"/>
  <c r="I20" i="18"/>
  <c r="I23" i="18"/>
  <c r="E16" i="19"/>
  <c r="F16" i="19" s="1"/>
  <c r="F20" i="19"/>
  <c r="I15" i="18"/>
  <c r="H15" i="15"/>
  <c r="I15" i="15"/>
  <c r="J15" i="15"/>
  <c r="M15" i="15"/>
  <c r="G15" i="15"/>
  <c r="K15" i="15"/>
  <c r="L15" i="15"/>
  <c r="M15" i="3"/>
  <c r="M22" i="3"/>
  <c r="M21" i="3"/>
  <c r="M20" i="3"/>
  <c r="M19" i="3"/>
  <c r="M23" i="3"/>
  <c r="M18" i="3"/>
  <c r="M17" i="3"/>
  <c r="M45" i="3"/>
  <c r="M44" i="3"/>
  <c r="M43" i="3"/>
  <c r="M42" i="3"/>
  <c r="M48" i="3"/>
  <c r="M47" i="3"/>
  <c r="M40" i="3"/>
  <c r="M16" i="3"/>
  <c r="M46" i="3"/>
  <c r="M14" i="3"/>
  <c r="F21" i="12"/>
  <c r="E17" i="12"/>
  <c r="F17" i="12" s="1"/>
  <c r="L22" i="4"/>
  <c r="L21" i="4"/>
  <c r="L20" i="4"/>
  <c r="L19" i="4"/>
  <c r="L18" i="4"/>
  <c r="L23" i="4"/>
  <c r="L17" i="4"/>
  <c r="L16" i="4"/>
  <c r="L15" i="4"/>
  <c r="L47" i="4"/>
  <c r="L46" i="4"/>
  <c r="L45" i="4"/>
  <c r="L44" i="4"/>
  <c r="L43" i="4"/>
  <c r="L41" i="4"/>
  <c r="L40" i="4"/>
  <c r="L14" i="4"/>
  <c r="L42" i="4"/>
  <c r="L48" i="4"/>
  <c r="G22" i="9"/>
  <c r="E18" i="9"/>
  <c r="G18" i="9" s="1"/>
  <c r="K16" i="3"/>
  <c r="J16" i="3"/>
  <c r="I16" i="3"/>
  <c r="H16" i="3"/>
  <c r="G41" i="3"/>
  <c r="N16" i="3"/>
  <c r="F16" i="3"/>
  <c r="J22" i="19"/>
  <c r="I22" i="19"/>
  <c r="H22" i="19"/>
  <c r="L22" i="19"/>
  <c r="K22" i="19"/>
  <c r="G22" i="19"/>
  <c r="N19" i="3"/>
  <c r="L22" i="3"/>
  <c r="M20" i="9"/>
  <c r="M19" i="9"/>
  <c r="M23" i="9"/>
  <c r="M17" i="9"/>
  <c r="M22" i="9"/>
  <c r="M15" i="9"/>
  <c r="M21" i="9"/>
  <c r="M45" i="9"/>
  <c r="M44" i="9"/>
  <c r="M16" i="9"/>
  <c r="M40" i="9"/>
  <c r="M48" i="9"/>
  <c r="M14" i="9"/>
  <c r="M41" i="9"/>
  <c r="G41" i="10"/>
  <c r="K41" i="10" s="1"/>
  <c r="F16" i="10"/>
  <c r="G48" i="2"/>
  <c r="I48" i="2" s="1"/>
  <c r="K23" i="2"/>
  <c r="F23" i="2"/>
  <c r="N23" i="2"/>
  <c r="I45" i="3"/>
  <c r="I21" i="21"/>
  <c r="N22" i="9"/>
  <c r="N20" i="9"/>
  <c r="N16" i="9"/>
  <c r="N19" i="9"/>
  <c r="N17" i="9"/>
  <c r="N21" i="9"/>
  <c r="N45" i="9"/>
  <c r="N44" i="9"/>
  <c r="N41" i="9"/>
  <c r="N23" i="9"/>
  <c r="N48" i="9"/>
  <c r="N15" i="9"/>
  <c r="N40" i="9"/>
  <c r="N14" i="9"/>
  <c r="K15" i="27"/>
  <c r="J15" i="27"/>
  <c r="I15" i="27"/>
  <c r="H15" i="27"/>
  <c r="G15" i="27"/>
  <c r="M15" i="27"/>
  <c r="L15" i="27"/>
  <c r="J21" i="14"/>
  <c r="I21" i="14"/>
  <c r="H21" i="14"/>
  <c r="L21" i="14"/>
  <c r="K21" i="14"/>
  <c r="I17" i="10"/>
  <c r="I16" i="10"/>
  <c r="I23" i="10"/>
  <c r="I15" i="10"/>
  <c r="I22" i="10"/>
  <c r="I43" i="10"/>
  <c r="I20" i="10"/>
  <c r="I18" i="10"/>
  <c r="I21" i="10"/>
  <c r="I19" i="10"/>
  <c r="I44" i="10"/>
  <c r="I40" i="10"/>
  <c r="I45" i="10"/>
  <c r="I48" i="10"/>
  <c r="I41" i="10"/>
  <c r="I14" i="10"/>
  <c r="I46" i="10"/>
  <c r="K19" i="8"/>
  <c r="G44" i="8"/>
  <c r="M44" i="8" s="1"/>
  <c r="F19" i="8"/>
  <c r="G47" i="1"/>
  <c r="F22" i="1"/>
  <c r="F42" i="10"/>
  <c r="K42" i="10" s="1"/>
  <c r="K46" i="10"/>
  <c r="K40" i="1"/>
  <c r="N40" i="1"/>
  <c r="I20" i="20"/>
  <c r="H20" i="20"/>
  <c r="G20" i="20"/>
  <c r="L20" i="20"/>
  <c r="K20" i="20"/>
  <c r="M20" i="20"/>
  <c r="J20" i="20"/>
  <c r="I17" i="21"/>
  <c r="N18" i="2"/>
  <c r="E18" i="26"/>
  <c r="F22" i="26"/>
  <c r="L18" i="27"/>
  <c r="I20" i="21"/>
  <c r="M16" i="21"/>
  <c r="L40" i="1"/>
  <c r="L22" i="1"/>
  <c r="H18" i="27"/>
  <c r="H16" i="27"/>
  <c r="H19" i="27"/>
  <c r="M21" i="27"/>
  <c r="K22" i="21"/>
  <c r="J22" i="21"/>
  <c r="I22" i="21"/>
  <c r="H22" i="21"/>
  <c r="M22" i="21"/>
  <c r="L22" i="21"/>
  <c r="G22" i="21"/>
  <c r="K22" i="27"/>
  <c r="L23" i="21"/>
  <c r="H21" i="12" l="1"/>
  <c r="G21" i="12"/>
  <c r="J21" i="12"/>
  <c r="L21" i="12"/>
  <c r="K21" i="12"/>
  <c r="I21" i="12"/>
  <c r="M21" i="12"/>
  <c r="I22" i="24"/>
  <c r="H22" i="24"/>
  <c r="G22" i="24"/>
  <c r="L22" i="24"/>
  <c r="K22" i="24"/>
  <c r="M22" i="24"/>
  <c r="J22" i="24"/>
  <c r="G46" i="1"/>
  <c r="N21" i="1"/>
  <c r="F21" i="1"/>
  <c r="L21" i="1"/>
  <c r="M21" i="1"/>
  <c r="K21" i="1"/>
  <c r="L18" i="14"/>
  <c r="K18" i="14"/>
  <c r="J18" i="14"/>
  <c r="I18" i="14"/>
  <c r="H18" i="14"/>
  <c r="H17" i="13"/>
  <c r="G17" i="13"/>
  <c r="K17" i="13"/>
  <c r="J17" i="13"/>
  <c r="M17" i="13"/>
  <c r="L17" i="13"/>
  <c r="I17" i="13"/>
  <c r="J48" i="2"/>
  <c r="L17" i="19"/>
  <c r="I17" i="19"/>
  <c r="H17" i="19"/>
  <c r="K17" i="19"/>
  <c r="J17" i="19"/>
  <c r="G17" i="19"/>
  <c r="I48" i="1"/>
  <c r="K20" i="14"/>
  <c r="J20" i="14"/>
  <c r="I20" i="14"/>
  <c r="L20" i="14"/>
  <c r="H20" i="14"/>
  <c r="G46" i="2"/>
  <c r="F21" i="2"/>
  <c r="K21" i="2"/>
  <c r="N21" i="2"/>
  <c r="K18" i="9"/>
  <c r="F18" i="9"/>
  <c r="G43" i="9"/>
  <c r="I18" i="9"/>
  <c r="G21" i="26"/>
  <c r="M21" i="26"/>
  <c r="L21" i="26"/>
  <c r="J21" i="26"/>
  <c r="K21" i="26"/>
  <c r="I21" i="26"/>
  <c r="H21" i="26"/>
  <c r="H21" i="1"/>
  <c r="L20" i="18"/>
  <c r="M10" i="18"/>
  <c r="L15" i="18"/>
  <c r="L19" i="18"/>
  <c r="L14" i="18"/>
  <c r="L16" i="18"/>
  <c r="L23" i="18"/>
  <c r="L18" i="18"/>
  <c r="J22" i="25"/>
  <c r="I22" i="25"/>
  <c r="H22" i="25"/>
  <c r="G22" i="25"/>
  <c r="M22" i="25"/>
  <c r="K22" i="25"/>
  <c r="L22" i="25"/>
  <c r="F18" i="23"/>
  <c r="M17" i="25"/>
  <c r="L17" i="25"/>
  <c r="K17" i="25"/>
  <c r="J17" i="25"/>
  <c r="H17" i="25"/>
  <c r="I17" i="25"/>
  <c r="G17" i="25"/>
  <c r="H19" i="18"/>
  <c r="H23" i="18"/>
  <c r="G10" i="18"/>
  <c r="H14" i="18"/>
  <c r="H18" i="18"/>
  <c r="H20" i="18"/>
  <c r="H16" i="18"/>
  <c r="H15" i="18"/>
  <c r="L21" i="16"/>
  <c r="K21" i="16"/>
  <c r="J21" i="16"/>
  <c r="G21" i="16"/>
  <c r="H21" i="16"/>
  <c r="M21" i="16"/>
  <c r="I21" i="16"/>
  <c r="G18" i="21"/>
  <c r="M18" i="21"/>
  <c r="L18" i="21"/>
  <c r="J18" i="21"/>
  <c r="I18" i="21"/>
  <c r="K18" i="21"/>
  <c r="H18" i="21"/>
  <c r="I20" i="12"/>
  <c r="H20" i="12"/>
  <c r="G20" i="12"/>
  <c r="K20" i="12"/>
  <c r="M20" i="12"/>
  <c r="L20" i="12"/>
  <c r="J20" i="12"/>
  <c r="G22" i="12"/>
  <c r="M22" i="12"/>
  <c r="I22" i="12"/>
  <c r="L22" i="12"/>
  <c r="K22" i="12"/>
  <c r="J22" i="12"/>
  <c r="H22" i="12"/>
  <c r="J17" i="28"/>
  <c r="I17" i="28"/>
  <c r="H17" i="28"/>
  <c r="G17" i="28"/>
  <c r="M17" i="28"/>
  <c r="L17" i="28"/>
  <c r="K17" i="28"/>
  <c r="K17" i="8"/>
  <c r="J17" i="8"/>
  <c r="G42" i="8"/>
  <c r="F17" i="8"/>
  <c r="L17" i="8"/>
  <c r="I17" i="8"/>
  <c r="K44" i="8"/>
  <c r="I44" i="8"/>
  <c r="L44" i="8"/>
  <c r="J44" i="8"/>
  <c r="K48" i="1"/>
  <c r="M48" i="1"/>
  <c r="N48" i="1"/>
  <c r="L48" i="1"/>
  <c r="M16" i="12"/>
  <c r="L16" i="12"/>
  <c r="K16" i="12"/>
  <c r="J16" i="12"/>
  <c r="I16" i="12"/>
  <c r="H16" i="12"/>
  <c r="G16" i="12"/>
  <c r="K17" i="26"/>
  <c r="J17" i="26"/>
  <c r="I17" i="26"/>
  <c r="H17" i="26"/>
  <c r="L17" i="26"/>
  <c r="M17" i="26"/>
  <c r="G17" i="26"/>
  <c r="L21" i="8"/>
  <c r="G46" i="8"/>
  <c r="F21" i="8"/>
  <c r="J21" i="8"/>
  <c r="K21" i="8"/>
  <c r="I21" i="8"/>
  <c r="N43" i="3"/>
  <c r="L43" i="3"/>
  <c r="K43" i="3"/>
  <c r="I43" i="3"/>
  <c r="H43" i="3"/>
  <c r="J43" i="3"/>
  <c r="J21" i="11"/>
  <c r="L21" i="11"/>
  <c r="G46" i="11"/>
  <c r="K21" i="11"/>
  <c r="F21" i="11"/>
  <c r="I21" i="11"/>
  <c r="N21" i="11"/>
  <c r="M21" i="11"/>
  <c r="H21" i="11"/>
  <c r="I21" i="25"/>
  <c r="H21" i="25"/>
  <c r="G21" i="25"/>
  <c r="L21" i="25"/>
  <c r="M21" i="25"/>
  <c r="K21" i="25"/>
  <c r="J21" i="25"/>
  <c r="K20" i="11"/>
  <c r="J20" i="11"/>
  <c r="N20" i="11"/>
  <c r="G45" i="11"/>
  <c r="L20" i="11"/>
  <c r="F20" i="11"/>
  <c r="M20" i="11"/>
  <c r="I20" i="11"/>
  <c r="H20" i="11"/>
  <c r="J21" i="2"/>
  <c r="K21" i="19"/>
  <c r="J21" i="19"/>
  <c r="I21" i="19"/>
  <c r="L21" i="19"/>
  <c r="H21" i="19"/>
  <c r="G21" i="19"/>
  <c r="L17" i="18"/>
  <c r="G42" i="2"/>
  <c r="F17" i="2"/>
  <c r="K17" i="2"/>
  <c r="N17" i="2"/>
  <c r="L22" i="18"/>
  <c r="I42" i="10"/>
  <c r="I47" i="10"/>
  <c r="F22" i="9"/>
  <c r="G47" i="9"/>
  <c r="K22" i="9"/>
  <c r="I22" i="9"/>
  <c r="G22" i="28"/>
  <c r="M22" i="28"/>
  <c r="L22" i="28"/>
  <c r="J22" i="28"/>
  <c r="H22" i="28"/>
  <c r="K22" i="28"/>
  <c r="I22" i="28"/>
  <c r="J17" i="2"/>
  <c r="L18" i="9"/>
  <c r="H17" i="1"/>
  <c r="N42" i="3"/>
  <c r="L42" i="3"/>
  <c r="J42" i="3"/>
  <c r="K42" i="3"/>
  <c r="I42" i="3"/>
  <c r="H42" i="3"/>
  <c r="F18" i="25"/>
  <c r="F19" i="25"/>
  <c r="H22" i="9"/>
  <c r="K21" i="23"/>
  <c r="J21" i="23"/>
  <c r="I21" i="23"/>
  <c r="H21" i="23"/>
  <c r="M21" i="23"/>
  <c r="L21" i="23"/>
  <c r="G21" i="23"/>
  <c r="K40" i="8"/>
  <c r="J40" i="8"/>
  <c r="L40" i="8"/>
  <c r="I40" i="8"/>
  <c r="M17" i="8"/>
  <c r="K16" i="15"/>
  <c r="J16" i="15"/>
  <c r="I16" i="15"/>
  <c r="M16" i="15"/>
  <c r="L16" i="15"/>
  <c r="G16" i="15"/>
  <c r="H16" i="15"/>
  <c r="G17" i="16"/>
  <c r="M17" i="16"/>
  <c r="J17" i="16"/>
  <c r="I17" i="16"/>
  <c r="L17" i="16"/>
  <c r="K17" i="16"/>
  <c r="H17" i="16"/>
  <c r="H17" i="8"/>
  <c r="L44" i="3"/>
  <c r="K44" i="3"/>
  <c r="J44" i="3"/>
  <c r="H44" i="3"/>
  <c r="N44" i="3"/>
  <c r="I44" i="3"/>
  <c r="G16" i="19"/>
  <c r="M16" i="19"/>
  <c r="J16" i="19"/>
  <c r="I16" i="19"/>
  <c r="L16" i="19"/>
  <c r="K16" i="19"/>
  <c r="H16" i="19"/>
  <c r="L20" i="2"/>
  <c r="M47" i="10"/>
  <c r="K45" i="8"/>
  <c r="J45" i="8"/>
  <c r="L45" i="8"/>
  <c r="I45" i="8"/>
  <c r="M16" i="23"/>
  <c r="L16" i="23"/>
  <c r="K16" i="23"/>
  <c r="I16" i="23"/>
  <c r="G16" i="23"/>
  <c r="H16" i="23"/>
  <c r="J16" i="23"/>
  <c r="H21" i="18"/>
  <c r="H48" i="8"/>
  <c r="H45" i="8"/>
  <c r="N18" i="9"/>
  <c r="M18" i="9"/>
  <c r="L17" i="2"/>
  <c r="M43" i="10"/>
  <c r="K17" i="9"/>
  <c r="G42" i="9"/>
  <c r="F17" i="9"/>
  <c r="I17" i="9"/>
  <c r="J48" i="9"/>
  <c r="J21" i="9"/>
  <c r="M20" i="16"/>
  <c r="L20" i="16"/>
  <c r="K20" i="16"/>
  <c r="H20" i="16"/>
  <c r="G20" i="16"/>
  <c r="J20" i="16"/>
  <c r="I20" i="16"/>
  <c r="L16" i="25"/>
  <c r="K16" i="25"/>
  <c r="J16" i="25"/>
  <c r="I16" i="25"/>
  <c r="G16" i="25"/>
  <c r="H16" i="25"/>
  <c r="M16" i="25"/>
  <c r="N42" i="10"/>
  <c r="N44" i="8"/>
  <c r="G41" i="1"/>
  <c r="K16" i="1"/>
  <c r="F16" i="1"/>
  <c r="N16" i="1"/>
  <c r="L16" i="1"/>
  <c r="M16" i="1"/>
  <c r="H43" i="10"/>
  <c r="J17" i="15"/>
  <c r="I17" i="15"/>
  <c r="H17" i="15"/>
  <c r="M17" i="15"/>
  <c r="L17" i="15"/>
  <c r="K17" i="15"/>
  <c r="G17" i="15"/>
  <c r="M10" i="19"/>
  <c r="M17" i="19" s="1"/>
  <c r="L14" i="19"/>
  <c r="L18" i="19"/>
  <c r="G20" i="24"/>
  <c r="M20" i="24"/>
  <c r="L20" i="24"/>
  <c r="J20" i="24"/>
  <c r="I20" i="24"/>
  <c r="H20" i="24"/>
  <c r="K20" i="24"/>
  <c r="L42" i="10"/>
  <c r="L43" i="10"/>
  <c r="K18" i="8"/>
  <c r="G43" i="8"/>
  <c r="F18" i="8"/>
  <c r="L18" i="8"/>
  <c r="J18" i="8"/>
  <c r="I18" i="8"/>
  <c r="H18" i="8"/>
  <c r="F18" i="26"/>
  <c r="F19" i="26"/>
  <c r="M21" i="13"/>
  <c r="L21" i="13"/>
  <c r="K21" i="13"/>
  <c r="H21" i="13"/>
  <c r="G21" i="13"/>
  <c r="I21" i="13"/>
  <c r="J21" i="13"/>
  <c r="K48" i="2"/>
  <c r="N48" i="2"/>
  <c r="L20" i="19"/>
  <c r="K20" i="19"/>
  <c r="J20" i="19"/>
  <c r="G20" i="19"/>
  <c r="H20" i="19"/>
  <c r="I20" i="19"/>
  <c r="L48" i="2"/>
  <c r="K18" i="28"/>
  <c r="J18" i="28"/>
  <c r="I18" i="28"/>
  <c r="H18" i="28"/>
  <c r="L18" i="28"/>
  <c r="M18" i="28"/>
  <c r="G18" i="28"/>
  <c r="I21" i="1"/>
  <c r="I23" i="25"/>
  <c r="M23" i="25"/>
  <c r="H23" i="25"/>
  <c r="L23" i="25"/>
  <c r="K23" i="25"/>
  <c r="J23" i="25"/>
  <c r="G23" i="25"/>
  <c r="H48" i="1"/>
  <c r="I16" i="28"/>
  <c r="H16" i="28"/>
  <c r="G16" i="28"/>
  <c r="L16" i="28"/>
  <c r="M16" i="28"/>
  <c r="K16" i="28"/>
  <c r="J16" i="28"/>
  <c r="M48" i="2"/>
  <c r="J41" i="8"/>
  <c r="L41" i="8"/>
  <c r="K41" i="8"/>
  <c r="I41" i="8"/>
  <c r="G45" i="2"/>
  <c r="F20" i="2"/>
  <c r="K20" i="2"/>
  <c r="N20" i="2"/>
  <c r="J20" i="23"/>
  <c r="I20" i="23"/>
  <c r="H20" i="23"/>
  <c r="G20" i="23"/>
  <c r="M20" i="23"/>
  <c r="L20" i="23"/>
  <c r="K20" i="23"/>
  <c r="G17" i="23"/>
  <c r="M17" i="23"/>
  <c r="L17" i="23"/>
  <c r="J17" i="23"/>
  <c r="I17" i="23"/>
  <c r="K17" i="23"/>
  <c r="H17" i="23"/>
  <c r="H48" i="2"/>
  <c r="M21" i="8"/>
  <c r="H20" i="15"/>
  <c r="G20" i="15"/>
  <c r="K20" i="15"/>
  <c r="J20" i="15"/>
  <c r="L20" i="15"/>
  <c r="I20" i="15"/>
  <c r="M20" i="15"/>
  <c r="H44" i="8"/>
  <c r="H41" i="3"/>
  <c r="N41" i="3"/>
  <c r="K41" i="3"/>
  <c r="L41" i="3"/>
  <c r="J41" i="3"/>
  <c r="I41" i="3"/>
  <c r="I19" i="23"/>
  <c r="H19" i="23"/>
  <c r="G19" i="23"/>
  <c r="L19" i="23"/>
  <c r="K19" i="23"/>
  <c r="M19" i="23"/>
  <c r="J19" i="23"/>
  <c r="J20" i="2"/>
  <c r="K47" i="3"/>
  <c r="J47" i="3"/>
  <c r="I47" i="3"/>
  <c r="H47" i="3"/>
  <c r="N47" i="3"/>
  <c r="L47" i="3"/>
  <c r="N47" i="10"/>
  <c r="M20" i="28"/>
  <c r="L20" i="28"/>
  <c r="K20" i="28"/>
  <c r="J20" i="28"/>
  <c r="H20" i="28"/>
  <c r="G20" i="28"/>
  <c r="I20" i="28"/>
  <c r="G45" i="1"/>
  <c r="K20" i="1"/>
  <c r="F20" i="1"/>
  <c r="M20" i="1"/>
  <c r="N20" i="1"/>
  <c r="L20" i="1"/>
  <c r="G41" i="2"/>
  <c r="F16" i="2"/>
  <c r="K16" i="2"/>
  <c r="N16" i="2"/>
  <c r="H18" i="9"/>
  <c r="H22" i="26"/>
  <c r="G22" i="26"/>
  <c r="M22" i="26"/>
  <c r="K22" i="26"/>
  <c r="I22" i="26"/>
  <c r="J22" i="26"/>
  <c r="L22" i="26"/>
  <c r="M47" i="1"/>
  <c r="K47" i="1"/>
  <c r="N47" i="1"/>
  <c r="L47" i="1"/>
  <c r="K17" i="12"/>
  <c r="I17" i="12"/>
  <c r="M17" i="12"/>
  <c r="L17" i="12"/>
  <c r="J17" i="12"/>
  <c r="G17" i="12"/>
  <c r="H17" i="12"/>
  <c r="M41" i="3"/>
  <c r="L21" i="2"/>
  <c r="H19" i="21"/>
  <c r="G19" i="21"/>
  <c r="M19" i="21"/>
  <c r="K19" i="21"/>
  <c r="L19" i="21"/>
  <c r="J19" i="21"/>
  <c r="I19" i="21"/>
  <c r="J47" i="10"/>
  <c r="K21" i="9"/>
  <c r="G46" i="9"/>
  <c r="F21" i="9"/>
  <c r="I21" i="9"/>
  <c r="J18" i="12"/>
  <c r="H18" i="12"/>
  <c r="L18" i="12"/>
  <c r="I18" i="12"/>
  <c r="G18" i="12"/>
  <c r="M18" i="12"/>
  <c r="K18" i="12"/>
  <c r="M21" i="28"/>
  <c r="L21" i="28"/>
  <c r="K21" i="28"/>
  <c r="I21" i="28"/>
  <c r="J21" i="28"/>
  <c r="H21" i="28"/>
  <c r="G21" i="28"/>
  <c r="F17" i="1"/>
  <c r="G42" i="1"/>
  <c r="M17" i="1"/>
  <c r="N17" i="1"/>
  <c r="L17" i="1"/>
  <c r="K17" i="1"/>
  <c r="J17" i="9"/>
  <c r="J22" i="9"/>
  <c r="H16" i="16"/>
  <c r="G16" i="16"/>
  <c r="K16" i="16"/>
  <c r="J16" i="16"/>
  <c r="I16" i="16"/>
  <c r="L16" i="16"/>
  <c r="M16" i="16"/>
  <c r="J21" i="1"/>
  <c r="H20" i="1"/>
  <c r="I22" i="14"/>
  <c r="H22" i="14"/>
  <c r="L22" i="14"/>
  <c r="K22" i="14"/>
  <c r="J22" i="14"/>
  <c r="H20" i="25"/>
  <c r="G20" i="25"/>
  <c r="M20" i="25"/>
  <c r="K20" i="25"/>
  <c r="L20" i="25"/>
  <c r="J20" i="25"/>
  <c r="I20" i="25"/>
  <c r="N45" i="8"/>
  <c r="N17" i="8"/>
  <c r="F18" i="24"/>
  <c r="M21" i="2"/>
  <c r="L18" i="11"/>
  <c r="K18" i="11"/>
  <c r="J18" i="11"/>
  <c r="I18" i="11"/>
  <c r="G43" i="11"/>
  <c r="N18" i="11"/>
  <c r="F18" i="11"/>
  <c r="H18" i="11"/>
  <c r="M18" i="11"/>
  <c r="H21" i="24"/>
  <c r="G21" i="24"/>
  <c r="M21" i="24"/>
  <c r="K21" i="24"/>
  <c r="L21" i="24"/>
  <c r="I21" i="24"/>
  <c r="J21" i="24"/>
  <c r="I16" i="2"/>
  <c r="I17" i="2"/>
  <c r="M10" i="14"/>
  <c r="M22" i="14" s="1"/>
  <c r="L19" i="14"/>
  <c r="L14" i="14"/>
  <c r="G21" i="15"/>
  <c r="M21" i="15"/>
  <c r="J21" i="15"/>
  <c r="I21" i="15"/>
  <c r="L21" i="15"/>
  <c r="K21" i="15"/>
  <c r="H21" i="15"/>
  <c r="K16" i="24"/>
  <c r="J16" i="24"/>
  <c r="I16" i="24"/>
  <c r="H16" i="24"/>
  <c r="L16" i="24"/>
  <c r="G16" i="24"/>
  <c r="M16" i="24"/>
  <c r="H20" i="2"/>
  <c r="M40" i="8"/>
  <c r="G10" i="14"/>
  <c r="G22" i="14" s="1"/>
  <c r="H19" i="14"/>
  <c r="H14" i="14"/>
  <c r="L21" i="18"/>
  <c r="K22" i="8"/>
  <c r="G47" i="8"/>
  <c r="L22" i="8"/>
  <c r="F22" i="8"/>
  <c r="I22" i="8"/>
  <c r="J22" i="8"/>
  <c r="H40" i="8"/>
  <c r="H21" i="8"/>
  <c r="L23" i="19"/>
  <c r="L17" i="14"/>
  <c r="L22" i="11"/>
  <c r="K22" i="11"/>
  <c r="J22" i="11"/>
  <c r="G47" i="11"/>
  <c r="F22" i="11"/>
  <c r="N22" i="11"/>
  <c r="I22" i="11"/>
  <c r="M22" i="11"/>
  <c r="H22" i="11"/>
  <c r="L17" i="24"/>
  <c r="K17" i="24"/>
  <c r="J17" i="24"/>
  <c r="I17" i="24"/>
  <c r="G17" i="24"/>
  <c r="M17" i="24"/>
  <c r="H17" i="24"/>
  <c r="L48" i="8"/>
  <c r="K48" i="8"/>
  <c r="J48" i="8"/>
  <c r="I48" i="8"/>
  <c r="L17" i="11"/>
  <c r="K17" i="11"/>
  <c r="J17" i="11"/>
  <c r="I17" i="11"/>
  <c r="N17" i="11"/>
  <c r="F17" i="11"/>
  <c r="G42" i="11"/>
  <c r="M17" i="11"/>
  <c r="H17" i="11"/>
  <c r="L16" i="14"/>
  <c r="I16" i="14"/>
  <c r="H16" i="14"/>
  <c r="K16" i="14"/>
  <c r="J16" i="14"/>
  <c r="M41" i="8"/>
  <c r="N16" i="11"/>
  <c r="L16" i="11"/>
  <c r="K16" i="11"/>
  <c r="J16" i="11"/>
  <c r="I16" i="11"/>
  <c r="H16" i="11"/>
  <c r="G41" i="11"/>
  <c r="F16" i="11"/>
  <c r="M16" i="11"/>
  <c r="H41" i="8"/>
  <c r="K48" i="9"/>
  <c r="I48" i="9"/>
  <c r="K42" i="2" l="1"/>
  <c r="N42" i="2"/>
  <c r="I42" i="2"/>
  <c r="J42" i="2"/>
  <c r="H42" i="2"/>
  <c r="M42" i="2"/>
  <c r="L42" i="2"/>
  <c r="I42" i="8"/>
  <c r="L42" i="8"/>
  <c r="K42" i="8"/>
  <c r="J42" i="8"/>
  <c r="N42" i="8"/>
  <c r="M42" i="8"/>
  <c r="H42" i="8"/>
  <c r="M20" i="14"/>
  <c r="N46" i="1"/>
  <c r="M46" i="1"/>
  <c r="L46" i="1"/>
  <c r="K46" i="1"/>
  <c r="H46" i="1"/>
  <c r="I46" i="1"/>
  <c r="J46" i="1"/>
  <c r="G18" i="14"/>
  <c r="K45" i="1"/>
  <c r="L45" i="1"/>
  <c r="M45" i="1"/>
  <c r="N45" i="1"/>
  <c r="H45" i="1"/>
  <c r="J45" i="1"/>
  <c r="I45" i="1"/>
  <c r="K45" i="2"/>
  <c r="N45" i="2"/>
  <c r="H45" i="2"/>
  <c r="M45" i="2"/>
  <c r="L45" i="2"/>
  <c r="I45" i="2"/>
  <c r="J45" i="2"/>
  <c r="K47" i="9"/>
  <c r="I47" i="9"/>
  <c r="N47" i="9"/>
  <c r="L47" i="9"/>
  <c r="J47" i="9"/>
  <c r="H47" i="9"/>
  <c r="M47" i="9"/>
  <c r="M14" i="14"/>
  <c r="M19" i="14"/>
  <c r="M17" i="14"/>
  <c r="M23" i="14"/>
  <c r="M15" i="14"/>
  <c r="M21" i="14"/>
  <c r="G14" i="18"/>
  <c r="G23" i="18"/>
  <c r="G18" i="18"/>
  <c r="G19" i="18"/>
  <c r="G16" i="18"/>
  <c r="G15" i="18"/>
  <c r="G20" i="18"/>
  <c r="G22" i="18"/>
  <c r="G17" i="18"/>
  <c r="G21" i="18"/>
  <c r="M23" i="18"/>
  <c r="M15" i="18"/>
  <c r="M14" i="18"/>
  <c r="M16" i="18"/>
  <c r="M19" i="18"/>
  <c r="M18" i="18"/>
  <c r="M20" i="18"/>
  <c r="M21" i="18"/>
  <c r="M17" i="18"/>
  <c r="M22" i="18"/>
  <c r="H43" i="11"/>
  <c r="M43" i="11"/>
  <c r="K43" i="11"/>
  <c r="N43" i="11"/>
  <c r="J43" i="11"/>
  <c r="L43" i="11"/>
  <c r="I43" i="11"/>
  <c r="K46" i="9"/>
  <c r="I46" i="9"/>
  <c r="H46" i="9"/>
  <c r="J46" i="9"/>
  <c r="L46" i="9"/>
  <c r="N46" i="9"/>
  <c r="M46" i="9"/>
  <c r="M41" i="1"/>
  <c r="K41" i="1"/>
  <c r="N41" i="1"/>
  <c r="L41" i="1"/>
  <c r="H41" i="1"/>
  <c r="J41" i="1"/>
  <c r="I41" i="1"/>
  <c r="N46" i="11"/>
  <c r="M46" i="11"/>
  <c r="K46" i="11"/>
  <c r="I46" i="11"/>
  <c r="L46" i="11"/>
  <c r="H46" i="11"/>
  <c r="J46" i="11"/>
  <c r="L47" i="8"/>
  <c r="K47" i="8"/>
  <c r="J47" i="8"/>
  <c r="I47" i="8"/>
  <c r="H47" i="8"/>
  <c r="M47" i="8"/>
  <c r="N47" i="8"/>
  <c r="G19" i="25"/>
  <c r="M19" i="25"/>
  <c r="L19" i="25"/>
  <c r="J19" i="25"/>
  <c r="H19" i="25"/>
  <c r="I19" i="25"/>
  <c r="K19" i="25"/>
  <c r="K46" i="2"/>
  <c r="N46" i="2"/>
  <c r="M46" i="2"/>
  <c r="L46" i="2"/>
  <c r="H46" i="2"/>
  <c r="I46" i="2"/>
  <c r="J46" i="2"/>
  <c r="I42" i="11"/>
  <c r="H42" i="11"/>
  <c r="N42" i="11"/>
  <c r="L42" i="11"/>
  <c r="M42" i="11"/>
  <c r="K42" i="11"/>
  <c r="J42" i="11"/>
  <c r="G14" i="14"/>
  <c r="G19" i="14"/>
  <c r="G21" i="14"/>
  <c r="G17" i="14"/>
  <c r="G15" i="14"/>
  <c r="G23" i="14"/>
  <c r="L18" i="26"/>
  <c r="K18" i="26"/>
  <c r="J18" i="26"/>
  <c r="I18" i="26"/>
  <c r="G18" i="26"/>
  <c r="M18" i="26"/>
  <c r="H18" i="26"/>
  <c r="N45" i="11"/>
  <c r="L45" i="11"/>
  <c r="J45" i="11"/>
  <c r="K45" i="11"/>
  <c r="I45" i="11"/>
  <c r="H45" i="11"/>
  <c r="M45" i="11"/>
  <c r="M14" i="19"/>
  <c r="M18" i="19"/>
  <c r="M23" i="19"/>
  <c r="M22" i="19"/>
  <c r="M19" i="19"/>
  <c r="M15" i="19"/>
  <c r="M16" i="14"/>
  <c r="L43" i="8"/>
  <c r="K43" i="8"/>
  <c r="J43" i="8"/>
  <c r="I43" i="8"/>
  <c r="M43" i="8"/>
  <c r="N43" i="8"/>
  <c r="H43" i="8"/>
  <c r="K42" i="9"/>
  <c r="I42" i="9"/>
  <c r="H42" i="9"/>
  <c r="M42" i="9"/>
  <c r="N42" i="9"/>
  <c r="L42" i="9"/>
  <c r="J42" i="9"/>
  <c r="M18" i="25"/>
  <c r="L18" i="25"/>
  <c r="K18" i="25"/>
  <c r="I18" i="25"/>
  <c r="J18" i="25"/>
  <c r="H18" i="25"/>
  <c r="G18" i="25"/>
  <c r="M21" i="19"/>
  <c r="L46" i="8"/>
  <c r="J46" i="8"/>
  <c r="K46" i="8"/>
  <c r="I46" i="8"/>
  <c r="N46" i="8"/>
  <c r="M46" i="8"/>
  <c r="H46" i="8"/>
  <c r="H18" i="23"/>
  <c r="G18" i="23"/>
  <c r="M18" i="23"/>
  <c r="K18" i="23"/>
  <c r="L18" i="23"/>
  <c r="J18" i="23"/>
  <c r="I18" i="23"/>
  <c r="G20" i="14"/>
  <c r="K41" i="2"/>
  <c r="N41" i="2"/>
  <c r="J41" i="2"/>
  <c r="M41" i="2"/>
  <c r="H41" i="2"/>
  <c r="I41" i="2"/>
  <c r="L41" i="2"/>
  <c r="J41" i="11"/>
  <c r="M41" i="11"/>
  <c r="H41" i="11"/>
  <c r="L41" i="11"/>
  <c r="I41" i="11"/>
  <c r="N41" i="11"/>
  <c r="K41" i="11"/>
  <c r="G16" i="14"/>
  <c r="M47" i="11"/>
  <c r="L47" i="11"/>
  <c r="J47" i="11"/>
  <c r="H47" i="11"/>
  <c r="I47" i="11"/>
  <c r="N47" i="11"/>
  <c r="K47" i="11"/>
  <c r="M18" i="24"/>
  <c r="L18" i="24"/>
  <c r="K18" i="24"/>
  <c r="J18" i="24"/>
  <c r="H18" i="24"/>
  <c r="G18" i="24"/>
  <c r="I18" i="24"/>
  <c r="K42" i="1"/>
  <c r="M42" i="1"/>
  <c r="N42" i="1"/>
  <c r="L42" i="1"/>
  <c r="J42" i="1"/>
  <c r="H42" i="1"/>
  <c r="I42" i="1"/>
  <c r="M20" i="19"/>
  <c r="M19" i="26"/>
  <c r="L19" i="26"/>
  <c r="K19" i="26"/>
  <c r="J19" i="26"/>
  <c r="H19" i="26"/>
  <c r="G19" i="26"/>
  <c r="I19" i="26"/>
  <c r="K43" i="9"/>
  <c r="I43" i="9"/>
  <c r="N43" i="9"/>
  <c r="H43" i="9"/>
  <c r="M43" i="9"/>
  <c r="L43" i="9"/>
  <c r="J43" i="9"/>
  <c r="M18" i="14"/>
</calcChain>
</file>

<file path=xl/sharedStrings.xml><?xml version="1.0" encoding="utf-8"?>
<sst xmlns="http://schemas.openxmlformats.org/spreadsheetml/2006/main" count="1009" uniqueCount="125">
  <si>
    <t>Yellow Cells Can be Modified</t>
  </si>
  <si>
    <t>Fertilizer Type</t>
  </si>
  <si>
    <t>UREA</t>
  </si>
  <si>
    <t>Cost/ton</t>
  </si>
  <si>
    <t>%N</t>
  </si>
  <si>
    <t>Cost/Unit of N</t>
  </si>
  <si>
    <t xml:space="preserve">Yield </t>
  </si>
  <si>
    <t>Increase</t>
  </si>
  <si>
    <r>
      <t>Net Return ($/ac.)</t>
    </r>
    <r>
      <rPr>
        <b/>
        <sz val="11"/>
        <color indexed="10"/>
        <rFont val="Arial"/>
        <family val="2"/>
      </rPr>
      <t>**</t>
    </r>
  </si>
  <si>
    <t>N Rate</t>
  </si>
  <si>
    <r>
      <t>from 0 lb. N</t>
    </r>
    <r>
      <rPr>
        <b/>
        <sz val="11"/>
        <color indexed="10"/>
        <rFont val="Arial"/>
        <family val="2"/>
      </rPr>
      <t>*</t>
    </r>
  </si>
  <si>
    <t>(lb./acre)</t>
  </si>
  <si>
    <t>(bu./ac.)</t>
  </si>
  <si>
    <r>
      <t>Current N Rate</t>
    </r>
    <r>
      <rPr>
        <b/>
        <sz val="10"/>
        <color indexed="10"/>
        <rFont val="Wingdings"/>
        <charset val="2"/>
      </rPr>
      <t>è</t>
    </r>
  </si>
  <si>
    <t>Expected Hybrid Canola Price</t>
  </si>
  <si>
    <t>Canola:N Price Ratio</t>
  </si>
  <si>
    <t xml:space="preserve">  Current N rate from your soil test report or common practice</t>
  </si>
  <si>
    <t>Expected CWRS Wheat Price</t>
  </si>
  <si>
    <t>CWRS Wheat:N Price Ratio</t>
  </si>
  <si>
    <t>**Net Return = (wheat price x yield increase) - (N price x N rate)</t>
  </si>
  <si>
    <t>Fertilizer N</t>
  </si>
  <si>
    <t>incremement</t>
  </si>
  <si>
    <t>Expected Barley Price</t>
  </si>
  <si>
    <t>Barley:N Price Ratio</t>
  </si>
  <si>
    <t>**Net Return = (barley price x yield increase) - (N price x N rate)</t>
  </si>
  <si>
    <t>**Net Return = canola price x yield increase) - (N price x N rate)</t>
  </si>
  <si>
    <t>Expected Canola Price</t>
  </si>
  <si>
    <t>**Net Return = (canola price x yield increase) - (N price x N rate)</t>
  </si>
  <si>
    <t>increment, $</t>
  </si>
  <si>
    <t>Soil test N (0-24")</t>
  </si>
  <si>
    <t>lb N/acre</t>
  </si>
  <si>
    <t>CWRS Wheat</t>
  </si>
  <si>
    <t>Barley</t>
  </si>
  <si>
    <t>Canola</t>
  </si>
  <si>
    <t>Canola (hybrid)</t>
  </si>
  <si>
    <t>Current N Rate (lb N/acre):</t>
  </si>
  <si>
    <t>Expected prices ($/bushel):</t>
  </si>
  <si>
    <t>Cost/tonne</t>
  </si>
  <si>
    <t>within $1.00 of maximum</t>
  </si>
  <si>
    <t>Fertilizer N data</t>
  </si>
  <si>
    <t>Nitrogen $ Rate of Return Calculator</t>
  </si>
  <si>
    <t>MY</t>
  </si>
  <si>
    <t>MR/MC</t>
  </si>
  <si>
    <t>Moist</t>
  </si>
  <si>
    <t xml:space="preserve">Dry </t>
  </si>
  <si>
    <t>Arid</t>
  </si>
  <si>
    <t>Crop and Economic data</t>
  </si>
  <si>
    <t>Manitoba (Moist)</t>
  </si>
  <si>
    <t>Manitoba (Dry)</t>
  </si>
  <si>
    <t>Manitoba (Arid)</t>
  </si>
  <si>
    <t>*Yield responses are averages from 25-site years</t>
  </si>
  <si>
    <t>*Yield responses are averages from 67-site years</t>
  </si>
  <si>
    <t>*Yield responses are averages from 55-site years</t>
  </si>
  <si>
    <t>*Yield responses are averages from 18-site years</t>
  </si>
  <si>
    <t>*Yield responses are averages from 70-site years</t>
  </si>
  <si>
    <t>*Yield responses are averages from 9-site years</t>
  </si>
  <si>
    <t>Fertilizer price</t>
  </si>
  <si>
    <t>increment, $/tonne</t>
  </si>
  <si>
    <t>Crop</t>
  </si>
  <si>
    <t>WHEAT</t>
  </si>
  <si>
    <t>$/bushel</t>
  </si>
  <si>
    <t>Crop/Fertilizer N data</t>
  </si>
  <si>
    <t>BARLEY</t>
  </si>
  <si>
    <t>Expected N Fertilizer Price</t>
  </si>
  <si>
    <t>CANOLA</t>
  </si>
  <si>
    <t>Manitoba (All)</t>
  </si>
  <si>
    <t xml:space="preserve">*Yield responses are averages from 34-site years </t>
  </si>
  <si>
    <t>Average</t>
  </si>
  <si>
    <t>yield</t>
  </si>
  <si>
    <t>Go to Marginal Return Chart</t>
  </si>
  <si>
    <t>Go to Fertilizer Price as a Variable</t>
  </si>
  <si>
    <t>Nitrogen Rate of Return Calculator</t>
  </si>
  <si>
    <t>Wheat, Barley, Canola &amp; Hybrid Canola</t>
  </si>
  <si>
    <t>Manitoba</t>
  </si>
  <si>
    <t>Go to Fertilizer as variable</t>
  </si>
  <si>
    <t>Go to Marginal Cost Chart</t>
  </si>
  <si>
    <t>Return to Wheat (Moist) as variable</t>
  </si>
  <si>
    <t>Return to Wheat (dry) as variable</t>
  </si>
  <si>
    <t>Return to Wheat (Dry) as variable</t>
  </si>
  <si>
    <t>Return to Wheat (Arid) as variable</t>
  </si>
  <si>
    <t>Return to Barley (Arid) as variable</t>
  </si>
  <si>
    <t>Return to Barley (Moist ) as variable</t>
  </si>
  <si>
    <t>Return to Barley (Moist) as variable</t>
  </si>
  <si>
    <t>Return to Barley (Dry) as variable</t>
  </si>
  <si>
    <t>Return to Canola (hybrid) as variable</t>
  </si>
  <si>
    <r>
      <t xml:space="preserve">Net return in blue represents maximum </t>
    </r>
    <r>
      <rPr>
        <sz val="8"/>
        <color indexed="12"/>
        <rFont val="Arial"/>
      </rPr>
      <t>±</t>
    </r>
    <r>
      <rPr>
        <sz val="8"/>
        <color indexed="12"/>
        <rFont val="Arial"/>
        <family val="2"/>
      </rPr>
      <t xml:space="preserve"> $0.50 for the CWRS Wheat:N Price Ratio range in this table </t>
    </r>
    <r>
      <rPr>
        <sz val="8"/>
        <color indexed="53"/>
        <rFont val="Arial"/>
        <family val="2"/>
      </rPr>
      <t>and in Orange</t>
    </r>
  </si>
  <si>
    <t>** MY=marginal yield is the yield difference as a result of a fertilizer rate increase of</t>
  </si>
  <si>
    <r>
      <t xml:space="preserve">Net return in blue represents maximum </t>
    </r>
    <r>
      <rPr>
        <sz val="8"/>
        <color indexed="12"/>
        <rFont val="Arial"/>
      </rPr>
      <t>±</t>
    </r>
    <r>
      <rPr>
        <sz val="8"/>
        <color indexed="12"/>
        <rFont val="Arial"/>
        <family val="2"/>
      </rPr>
      <t xml:space="preserve"> $0.50 for the Barley:N Price Ratio range in this table </t>
    </r>
    <r>
      <rPr>
        <sz val="8"/>
        <color indexed="53"/>
        <rFont val="Arial"/>
        <family val="2"/>
      </rPr>
      <t>and in Orange</t>
    </r>
  </si>
  <si>
    <r>
      <t xml:space="preserve">Net return in blue represents maximum </t>
    </r>
    <r>
      <rPr>
        <sz val="8"/>
        <color indexed="12"/>
        <rFont val="Arial"/>
      </rPr>
      <t>±</t>
    </r>
    <r>
      <rPr>
        <sz val="8"/>
        <color indexed="12"/>
        <rFont val="Arial"/>
        <family val="2"/>
      </rPr>
      <t xml:space="preserve"> $0.50 for the Canola:N Price Ratio range in this table </t>
    </r>
    <r>
      <rPr>
        <sz val="8"/>
        <color indexed="53"/>
        <rFont val="Arial"/>
        <family val="2"/>
      </rPr>
      <t>and in Orange</t>
    </r>
  </si>
  <si>
    <t>Crop to examine:</t>
  </si>
  <si>
    <t>Wheat (Moist)</t>
  </si>
  <si>
    <t>Wheat (Dry)</t>
  </si>
  <si>
    <t>Wheat (Arid)</t>
  </si>
  <si>
    <t>Barley (Moist)</t>
  </si>
  <si>
    <t>Barley (Dry)</t>
  </si>
  <si>
    <t>Barley (Arid)</t>
  </si>
  <si>
    <t>Return to Data Entry</t>
  </si>
  <si>
    <t>Return Canola as variable</t>
  </si>
  <si>
    <t>Return to Canola Crop as variable</t>
  </si>
  <si>
    <t>**Net Return = (wheat price x yield) - (N price x N rate)</t>
  </si>
  <si>
    <t>Go to Total Net Return Below</t>
  </si>
  <si>
    <t>**Net Return = (barley price x yield) - (N price x N rate)</t>
  </si>
  <si>
    <t>Return to Net Return</t>
  </si>
  <si>
    <t>**Net Return = (canola price x yield) - (N price x N rate)</t>
  </si>
  <si>
    <t>*Yield responses are averages from 34-site years</t>
  </si>
  <si>
    <r>
      <t xml:space="preserve">Net return in blue represents maximum </t>
    </r>
    <r>
      <rPr>
        <sz val="8"/>
        <color indexed="12"/>
        <rFont val="Arial"/>
      </rPr>
      <t>±</t>
    </r>
    <r>
      <rPr>
        <sz val="8"/>
        <color indexed="12"/>
        <rFont val="Arial"/>
        <family val="2"/>
      </rPr>
      <t xml:space="preserve"> $0.50 for the barley:N Price Ratio range in this table </t>
    </r>
    <r>
      <rPr>
        <sz val="8"/>
        <color indexed="53"/>
        <rFont val="Arial"/>
        <family val="2"/>
      </rPr>
      <t>and in Orange</t>
    </r>
  </si>
  <si>
    <t>increment</t>
  </si>
  <si>
    <t>MR/MC=marginal yield/marginal cost, is the return on the last dollar spent on N.</t>
  </si>
  <si>
    <t>Crop price</t>
  </si>
  <si>
    <t>Go to Marginal Revenue  Chart</t>
  </si>
  <si>
    <t>Go to Marginal Revenue Chart</t>
  </si>
  <si>
    <r>
      <t>Marginal Revenue ($/$1 spent on N)</t>
    </r>
    <r>
      <rPr>
        <b/>
        <sz val="11"/>
        <color indexed="10"/>
        <rFont val="Arial"/>
        <family val="2"/>
      </rPr>
      <t>**</t>
    </r>
  </si>
  <si>
    <r>
      <t>Return ($/ac.) Less Fertilizer Costs for Applied N</t>
    </r>
    <r>
      <rPr>
        <b/>
        <sz val="11"/>
        <color indexed="10"/>
        <rFont val="Arial"/>
        <family val="2"/>
      </rPr>
      <t>**</t>
    </r>
  </si>
  <si>
    <r>
      <t>Disclaimer:</t>
    </r>
    <r>
      <rPr>
        <sz val="12"/>
        <rFont val="Times New Roman"/>
        <family val="1"/>
      </rPr>
      <t xml:space="preserve">  </t>
    </r>
  </si>
  <si>
    <t>Disclaimer</t>
  </si>
  <si>
    <t>MR/MC in green represents 1.25 to 1.50 return on the last dollar spent on N.</t>
  </si>
  <si>
    <t>http://www.uwex.edu/ces/crops/NComparison.htm</t>
  </si>
  <si>
    <t>Rankin, M. 2005. Nitrogen $ Rate of Return Calculator Version 3. University of Wisconsin - Extension.</t>
  </si>
  <si>
    <t xml:space="preserve"> Available [Online]:</t>
  </si>
  <si>
    <t>Go to Fertilizer Price as variable</t>
  </si>
  <si>
    <t>Go to Fertilizer Rate as variable</t>
  </si>
  <si>
    <t>Go to Fertilizer Price as a variable</t>
  </si>
  <si>
    <t xml:space="preserve">Economic return comparisons to N fertilization are based on the principle of net return as </t>
  </si>
  <si>
    <t>described by University of Wisconsin Professor M. Rankin.</t>
  </si>
  <si>
    <t>Version 1.0 May 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</si>
</sst>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7" formatCode="&quot;$&quot;#,##0.00_);[Red]\(&quot;$&quot;#,##0.00\)"/>
    <numFmt numFmtId="172" formatCode="&quot;$&quot;#,##0.00"/>
    <numFmt numFmtId="174" formatCode="0.0"/>
    <numFmt numFmtId="175" formatCode="&quot;$&quot;#,##0.0"/>
    <numFmt numFmtId="178" formatCode="&quot;$&quot;#,##0"/>
    <numFmt numFmtId="179" formatCode="&quot;$&quot;#,##0.0_);[Red]\(&quot;$&quot;#,##0.0\)"/>
  </numFmts>
  <fonts count="30" x14ac:knownFonts="1">
    <font>
      <sz val="10"/>
      <name val="Arial"/>
    </font>
    <font>
      <b/>
      <sz val="16"/>
      <color indexed="9"/>
      <name val="Arial"/>
      <family val="2"/>
    </font>
    <font>
      <b/>
      <sz val="16"/>
      <color indexed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1"/>
      <color indexed="10"/>
      <name val="Arial"/>
      <family val="2"/>
    </font>
    <font>
      <b/>
      <sz val="10"/>
      <color indexed="10"/>
      <name val="Arial"/>
      <family val="2"/>
    </font>
    <font>
      <b/>
      <sz val="10"/>
      <color indexed="10"/>
      <name val="Wingdings"/>
      <charset val="2"/>
    </font>
    <font>
      <sz val="8"/>
      <color indexed="10"/>
      <name val="Arial"/>
      <family val="2"/>
    </font>
    <font>
      <sz val="8"/>
      <color indexed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8"/>
      <color indexed="53"/>
      <name val="Arial"/>
      <family val="2"/>
    </font>
    <font>
      <sz val="8"/>
      <name val="Arial"/>
    </font>
    <font>
      <u/>
      <sz val="10"/>
      <color indexed="12"/>
      <name val="Arial"/>
    </font>
    <font>
      <sz val="8"/>
      <color indexed="10"/>
      <name val="Arial"/>
    </font>
    <font>
      <sz val="8"/>
      <name val="Arial"/>
      <family val="2"/>
    </font>
    <font>
      <b/>
      <u/>
      <sz val="10"/>
      <color indexed="12"/>
      <name val="Arial"/>
      <family val="2"/>
    </font>
    <font>
      <sz val="10"/>
      <color indexed="9"/>
      <name val="Arial"/>
    </font>
    <font>
      <sz val="8"/>
      <color indexed="12"/>
      <name val="Arial"/>
    </font>
    <font>
      <b/>
      <u/>
      <sz val="10"/>
      <color indexed="10"/>
      <name val="Arial"/>
      <family val="2"/>
    </font>
    <font>
      <sz val="10"/>
      <color indexed="12"/>
      <name val="Arial"/>
      <family val="2"/>
    </font>
    <font>
      <b/>
      <u/>
      <sz val="10"/>
      <color indexed="17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color indexed="17"/>
      <name val="Arial"/>
      <family val="2"/>
    </font>
    <font>
      <sz val="8"/>
      <color indexed="17"/>
      <name val="Arial"/>
      <family val="2"/>
    </font>
    <font>
      <sz val="1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290">
    <xf numFmtId="0" fontId="0" fillId="0" borderId="0" xfId="0"/>
    <xf numFmtId="0" fontId="4" fillId="2" borderId="1" xfId="0" applyFont="1" applyFill="1" applyBorder="1" applyAlignment="1">
      <alignment horizontal="right"/>
    </xf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 applyAlignment="1">
      <alignment horizontal="right"/>
    </xf>
    <xf numFmtId="0" fontId="4" fillId="2" borderId="2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right"/>
    </xf>
    <xf numFmtId="49" fontId="5" fillId="3" borderId="5" xfId="0" applyNumberFormat="1" applyFont="1" applyFill="1" applyBorder="1" applyAlignment="1" applyProtection="1">
      <alignment horizontal="center"/>
      <protection locked="0"/>
    </xf>
    <xf numFmtId="1" fontId="4" fillId="3" borderId="6" xfId="0" applyNumberFormat="1" applyFont="1" applyFill="1" applyBorder="1" applyAlignment="1" applyProtection="1">
      <alignment horizontal="center"/>
      <protection locked="0"/>
    </xf>
    <xf numFmtId="0" fontId="5" fillId="2" borderId="7" xfId="0" applyFont="1" applyFill="1" applyBorder="1"/>
    <xf numFmtId="0" fontId="0" fillId="0" borderId="0" xfId="0" applyProtection="1">
      <protection hidden="1"/>
    </xf>
    <xf numFmtId="0" fontId="0" fillId="0" borderId="0" xfId="0" applyAlignment="1" applyProtection="1">
      <protection hidden="1"/>
    </xf>
    <xf numFmtId="0" fontId="0" fillId="0" borderId="0" xfId="0" applyBorder="1" applyProtection="1">
      <protection hidden="1"/>
    </xf>
    <xf numFmtId="0" fontId="1" fillId="0" borderId="1" xfId="0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0" fontId="0" fillId="0" borderId="8" xfId="0" applyBorder="1" applyProtection="1">
      <protection hidden="1"/>
    </xf>
    <xf numFmtId="0" fontId="4" fillId="0" borderId="0" xfId="0" applyFont="1" applyProtection="1">
      <protection hidden="1"/>
    </xf>
    <xf numFmtId="0" fontId="4" fillId="0" borderId="1" xfId="0" applyFont="1" applyBorder="1" applyProtection="1">
      <protection hidden="1"/>
    </xf>
    <xf numFmtId="0" fontId="4" fillId="0" borderId="0" xfId="0" applyFont="1" applyBorder="1" applyProtection="1">
      <protection hidden="1"/>
    </xf>
    <xf numFmtId="0" fontId="5" fillId="0" borderId="0" xfId="0" applyFont="1" applyBorder="1" applyAlignment="1" applyProtection="1">
      <alignment horizontal="center" vertical="justify"/>
      <protection hidden="1"/>
    </xf>
    <xf numFmtId="0" fontId="4" fillId="2" borderId="3" xfId="0" applyFont="1" applyFill="1" applyBorder="1" applyAlignment="1" applyProtection="1">
      <alignment horizontal="right"/>
      <protection hidden="1"/>
    </xf>
    <xf numFmtId="49" fontId="5" fillId="2" borderId="9" xfId="0" applyNumberFormat="1" applyFont="1" applyFill="1" applyBorder="1" applyAlignment="1" applyProtection="1">
      <alignment horizontal="center"/>
      <protection hidden="1"/>
    </xf>
    <xf numFmtId="0" fontId="4" fillId="0" borderId="10" xfId="0" applyFont="1" applyBorder="1" applyProtection="1">
      <protection hidden="1"/>
    </xf>
    <xf numFmtId="0" fontId="4" fillId="0" borderId="11" xfId="0" applyFont="1" applyBorder="1" applyProtection="1">
      <protection hidden="1"/>
    </xf>
    <xf numFmtId="0" fontId="0" fillId="0" borderId="12" xfId="0" applyBorder="1" applyProtection="1">
      <protection hidden="1"/>
    </xf>
    <xf numFmtId="1" fontId="4" fillId="2" borderId="13" xfId="0" applyNumberFormat="1" applyFont="1" applyFill="1" applyBorder="1" applyAlignment="1" applyProtection="1">
      <alignment horizontal="center"/>
      <protection hidden="1"/>
    </xf>
    <xf numFmtId="172" fontId="6" fillId="4" borderId="0" xfId="0" applyNumberFormat="1" applyFont="1" applyFill="1" applyBorder="1" applyAlignment="1" applyProtection="1">
      <alignment horizontal="center"/>
      <protection hidden="1"/>
    </xf>
    <xf numFmtId="172" fontId="7" fillId="4" borderId="0" xfId="0" applyNumberFormat="1" applyFont="1" applyFill="1" applyBorder="1" applyAlignment="1" applyProtection="1">
      <alignment horizontal="center"/>
      <protection hidden="1"/>
    </xf>
    <xf numFmtId="172" fontId="6" fillId="4" borderId="8" xfId="0" applyNumberFormat="1" applyFont="1" applyFill="1" applyBorder="1" applyAlignment="1" applyProtection="1">
      <alignment horizontal="center"/>
      <protection hidden="1"/>
    </xf>
    <xf numFmtId="0" fontId="5" fillId="0" borderId="0" xfId="0" applyFont="1" applyBorder="1" applyAlignment="1" applyProtection="1">
      <alignment horizontal="center"/>
      <protection hidden="1"/>
    </xf>
    <xf numFmtId="0" fontId="4" fillId="2" borderId="1" xfId="0" applyFont="1" applyFill="1" applyBorder="1" applyAlignment="1" applyProtection="1">
      <alignment horizontal="right"/>
      <protection hidden="1"/>
    </xf>
    <xf numFmtId="0" fontId="3" fillId="2" borderId="14" xfId="0" applyFont="1" applyFill="1" applyBorder="1" applyAlignment="1" applyProtection="1">
      <alignment horizontal="center"/>
      <protection hidden="1"/>
    </xf>
    <xf numFmtId="0" fontId="5" fillId="0" borderId="1" xfId="0" applyFont="1" applyBorder="1" applyAlignment="1" applyProtection="1">
      <alignment horizontal="center"/>
      <protection hidden="1"/>
    </xf>
    <xf numFmtId="0" fontId="4" fillId="2" borderId="2" xfId="0" applyFont="1" applyFill="1" applyBorder="1" applyAlignment="1" applyProtection="1">
      <alignment horizontal="right"/>
      <protection hidden="1"/>
    </xf>
    <xf numFmtId="0" fontId="0" fillId="2" borderId="15" xfId="0" applyFill="1" applyBorder="1" applyProtection="1">
      <protection hidden="1"/>
    </xf>
    <xf numFmtId="0" fontId="5" fillId="0" borderId="16" xfId="0" applyFont="1" applyBorder="1" applyAlignment="1" applyProtection="1">
      <alignment horizontal="center"/>
      <protection hidden="1"/>
    </xf>
    <xf numFmtId="0" fontId="5" fillId="0" borderId="17" xfId="0" applyFont="1" applyBorder="1" applyAlignment="1" applyProtection="1">
      <alignment horizontal="center"/>
      <protection hidden="1"/>
    </xf>
    <xf numFmtId="0" fontId="4" fillId="2" borderId="1" xfId="0" applyFont="1" applyFill="1" applyBorder="1" applyProtection="1">
      <protection hidden="1"/>
    </xf>
    <xf numFmtId="175" fontId="3" fillId="2" borderId="13" xfId="0" applyNumberFormat="1" applyFont="1" applyFill="1" applyBorder="1" applyAlignment="1" applyProtection="1">
      <alignment horizontal="center"/>
      <protection hidden="1"/>
    </xf>
    <xf numFmtId="0" fontId="4" fillId="0" borderId="7" xfId="0" applyFont="1" applyBorder="1" applyAlignment="1" applyProtection="1">
      <alignment horizontal="center"/>
      <protection hidden="1"/>
    </xf>
    <xf numFmtId="0" fontId="4" fillId="0" borderId="18" xfId="0" applyFont="1" applyBorder="1" applyAlignment="1" applyProtection="1">
      <alignment horizontal="center"/>
      <protection hidden="1"/>
    </xf>
    <xf numFmtId="174" fontId="5" fillId="5" borderId="19" xfId="0" applyNumberFormat="1" applyFont="1" applyFill="1" applyBorder="1" applyAlignment="1" applyProtection="1">
      <alignment horizontal="center"/>
      <protection hidden="1"/>
    </xf>
    <xf numFmtId="174" fontId="5" fillId="5" borderId="20" xfId="0" applyNumberFormat="1" applyFont="1" applyFill="1" applyBorder="1" applyAlignment="1" applyProtection="1">
      <alignment horizontal="center"/>
      <protection hidden="1"/>
    </xf>
    <xf numFmtId="0" fontId="4" fillId="2" borderId="2" xfId="0" applyFont="1" applyFill="1" applyBorder="1" applyProtection="1">
      <protection hidden="1"/>
    </xf>
    <xf numFmtId="0" fontId="5" fillId="4" borderId="7" xfId="0" applyFont="1" applyFill="1" applyBorder="1" applyAlignment="1" applyProtection="1">
      <alignment horizontal="center"/>
      <protection hidden="1"/>
    </xf>
    <xf numFmtId="0" fontId="3" fillId="2" borderId="13" xfId="0" applyFont="1" applyFill="1" applyBorder="1" applyAlignment="1" applyProtection="1">
      <alignment horizontal="center"/>
      <protection hidden="1"/>
    </xf>
    <xf numFmtId="0" fontId="4" fillId="2" borderId="15" xfId="0" applyFont="1" applyFill="1" applyBorder="1" applyProtection="1">
      <protection hidden="1"/>
    </xf>
    <xf numFmtId="0" fontId="5" fillId="0" borderId="1" xfId="0" applyFont="1" applyBorder="1" applyProtection="1">
      <protection hidden="1"/>
    </xf>
    <xf numFmtId="0" fontId="8" fillId="0" borderId="0" xfId="0" applyFont="1" applyBorder="1" applyAlignment="1" applyProtection="1">
      <alignment horizontal="right"/>
      <protection hidden="1"/>
    </xf>
    <xf numFmtId="0" fontId="8" fillId="0" borderId="1" xfId="0" applyFont="1" applyBorder="1" applyAlignment="1" applyProtection="1">
      <alignment horizontal="right"/>
      <protection hidden="1"/>
    </xf>
    <xf numFmtId="0" fontId="5" fillId="4" borderId="21" xfId="0" applyFont="1" applyFill="1" applyBorder="1" applyAlignment="1" applyProtection="1">
      <alignment horizontal="center"/>
      <protection hidden="1"/>
    </xf>
    <xf numFmtId="0" fontId="5" fillId="4" borderId="2" xfId="0" applyFont="1" applyFill="1" applyBorder="1" applyAlignment="1" applyProtection="1">
      <alignment horizontal="center"/>
      <protection hidden="1"/>
    </xf>
    <xf numFmtId="172" fontId="4" fillId="0" borderId="0" xfId="0" applyNumberFormat="1" applyFont="1" applyBorder="1" applyProtection="1">
      <protection hidden="1"/>
    </xf>
    <xf numFmtId="0" fontId="10" fillId="0" borderId="0" xfId="0" applyFont="1" applyBorder="1" applyAlignment="1" applyProtection="1">
      <alignment horizontal="left" wrapText="1"/>
      <protection hidden="1"/>
    </xf>
    <xf numFmtId="0" fontId="0" fillId="0" borderId="1" xfId="0" applyBorder="1" applyProtection="1">
      <protection hidden="1"/>
    </xf>
    <xf numFmtId="0" fontId="0" fillId="0" borderId="17" xfId="0" applyBorder="1" applyProtection="1">
      <protection hidden="1"/>
    </xf>
    <xf numFmtId="0" fontId="0" fillId="0" borderId="22" xfId="0" applyBorder="1" applyProtection="1">
      <protection hidden="1"/>
    </xf>
    <xf numFmtId="172" fontId="3" fillId="2" borderId="13" xfId="0" applyNumberFormat="1" applyFont="1" applyFill="1" applyBorder="1" applyAlignment="1" applyProtection="1">
      <alignment horizontal="center"/>
      <protection hidden="1"/>
    </xf>
    <xf numFmtId="178" fontId="4" fillId="3" borderId="23" xfId="0" applyNumberFormat="1" applyFont="1" applyFill="1" applyBorder="1" applyAlignment="1" applyProtection="1">
      <alignment horizontal="center"/>
      <protection locked="0"/>
    </xf>
    <xf numFmtId="178" fontId="4" fillId="2" borderId="9" xfId="0" applyNumberFormat="1" applyFont="1" applyFill="1" applyBorder="1" applyAlignment="1" applyProtection="1">
      <alignment horizontal="center"/>
      <protection hidden="1"/>
    </xf>
    <xf numFmtId="172" fontId="5" fillId="2" borderId="6" xfId="0" applyNumberFormat="1" applyFont="1" applyFill="1" applyBorder="1" applyAlignment="1" applyProtection="1">
      <alignment horizontal="center"/>
      <protection hidden="1"/>
    </xf>
    <xf numFmtId="172" fontId="5" fillId="2" borderId="13" xfId="0" applyNumberFormat="1" applyFont="1" applyFill="1" applyBorder="1" applyAlignment="1" applyProtection="1">
      <alignment horizontal="center"/>
      <protection hidden="1"/>
    </xf>
    <xf numFmtId="0" fontId="4" fillId="0" borderId="10" xfId="0" applyFont="1" applyFill="1" applyBorder="1" applyProtection="1">
      <protection hidden="1"/>
    </xf>
    <xf numFmtId="0" fontId="4" fillId="0" borderId="11" xfId="0" applyFont="1" applyFill="1" applyBorder="1" applyProtection="1">
      <protection hidden="1"/>
    </xf>
    <xf numFmtId="0" fontId="0" fillId="0" borderId="12" xfId="0" applyFill="1" applyBorder="1" applyProtection="1">
      <protection hidden="1"/>
    </xf>
    <xf numFmtId="0" fontId="4" fillId="0" borderId="1" xfId="0" applyFont="1" applyFill="1" applyBorder="1" applyProtection="1">
      <protection hidden="1"/>
    </xf>
    <xf numFmtId="0" fontId="4" fillId="0" borderId="0" xfId="0" applyFont="1" applyFill="1" applyBorder="1" applyProtection="1">
      <protection hidden="1"/>
    </xf>
    <xf numFmtId="0" fontId="5" fillId="0" borderId="0" xfId="0" applyFont="1" applyFill="1" applyBorder="1" applyAlignment="1" applyProtection="1">
      <alignment horizontal="center" vertical="justify"/>
      <protection hidden="1"/>
    </xf>
    <xf numFmtId="0" fontId="0" fillId="0" borderId="0" xfId="0" applyFill="1" applyBorder="1" applyProtection="1">
      <protection hidden="1"/>
    </xf>
    <xf numFmtId="0" fontId="0" fillId="0" borderId="8" xfId="0" applyFill="1" applyBorder="1" applyProtection="1">
      <protection hidden="1"/>
    </xf>
    <xf numFmtId="0" fontId="5" fillId="0" borderId="0" xfId="0" applyFont="1" applyFill="1" applyBorder="1" applyAlignment="1" applyProtection="1">
      <alignment horizontal="center"/>
      <protection hidden="1"/>
    </xf>
    <xf numFmtId="0" fontId="5" fillId="0" borderId="1" xfId="0" applyFont="1" applyFill="1" applyBorder="1" applyAlignment="1" applyProtection="1">
      <alignment horizontal="center"/>
      <protection hidden="1"/>
    </xf>
    <xf numFmtId="0" fontId="5" fillId="0" borderId="16" xfId="0" applyFont="1" applyFill="1" applyBorder="1" applyAlignment="1" applyProtection="1">
      <alignment horizontal="center"/>
      <protection hidden="1"/>
    </xf>
    <xf numFmtId="0" fontId="5" fillId="0" borderId="17" xfId="0" applyFont="1" applyFill="1" applyBorder="1" applyAlignment="1" applyProtection="1">
      <alignment horizontal="center"/>
      <protection hidden="1"/>
    </xf>
    <xf numFmtId="0" fontId="4" fillId="0" borderId="7" xfId="0" applyFont="1" applyFill="1" applyBorder="1" applyAlignment="1" applyProtection="1">
      <alignment horizontal="center"/>
      <protection hidden="1"/>
    </xf>
    <xf numFmtId="0" fontId="4" fillId="0" borderId="18" xfId="0" applyFont="1" applyFill="1" applyBorder="1" applyAlignment="1" applyProtection="1">
      <alignment horizontal="center"/>
      <protection hidden="1"/>
    </xf>
    <xf numFmtId="0" fontId="12" fillId="0" borderId="16" xfId="0" applyFont="1" applyBorder="1" applyProtection="1">
      <protection hidden="1"/>
    </xf>
    <xf numFmtId="0" fontId="17" fillId="0" borderId="0" xfId="0" applyFont="1" applyBorder="1" applyProtection="1">
      <protection hidden="1"/>
    </xf>
    <xf numFmtId="0" fontId="17" fillId="0" borderId="1" xfId="0" applyFont="1" applyBorder="1" applyProtection="1">
      <protection hidden="1"/>
    </xf>
    <xf numFmtId="0" fontId="11" fillId="0" borderId="1" xfId="0" applyFont="1" applyFill="1" applyBorder="1" applyAlignment="1" applyProtection="1">
      <alignment horizontal="left"/>
      <protection hidden="1"/>
    </xf>
    <xf numFmtId="0" fontId="11" fillId="0" borderId="0" xfId="0" applyFont="1" applyFill="1" applyBorder="1" applyAlignment="1" applyProtection="1">
      <alignment horizontal="left"/>
      <protection hidden="1"/>
    </xf>
    <xf numFmtId="0" fontId="12" fillId="0" borderId="17" xfId="0" applyFont="1" applyBorder="1" applyProtection="1">
      <protection hidden="1"/>
    </xf>
    <xf numFmtId="0" fontId="4" fillId="2" borderId="24" xfId="0" applyFont="1" applyFill="1" applyBorder="1"/>
    <xf numFmtId="172" fontId="4" fillId="2" borderId="9" xfId="0" applyNumberFormat="1" applyFont="1" applyFill="1" applyBorder="1" applyAlignment="1" applyProtection="1">
      <alignment horizontal="center"/>
      <protection hidden="1"/>
    </xf>
    <xf numFmtId="0" fontId="4" fillId="0" borderId="25" xfId="0" applyFont="1" applyFill="1" applyBorder="1" applyAlignment="1" applyProtection="1">
      <alignment horizontal="center"/>
      <protection hidden="1"/>
    </xf>
    <xf numFmtId="0" fontId="4" fillId="0" borderId="26" xfId="0" applyFont="1" applyFill="1" applyBorder="1" applyAlignment="1" applyProtection="1">
      <alignment horizontal="center"/>
      <protection hidden="1"/>
    </xf>
    <xf numFmtId="0" fontId="0" fillId="0" borderId="27" xfId="0" applyBorder="1" applyProtection="1">
      <protection hidden="1"/>
    </xf>
    <xf numFmtId="0" fontId="4" fillId="2" borderId="28" xfId="0" applyFont="1" applyFill="1" applyBorder="1" applyAlignment="1" applyProtection="1">
      <alignment horizontal="right"/>
      <protection hidden="1"/>
    </xf>
    <xf numFmtId="0" fontId="5" fillId="3" borderId="29" xfId="0" applyFont="1" applyFill="1" applyBorder="1" applyAlignment="1" applyProtection="1">
      <alignment horizontal="center"/>
      <protection locked="0"/>
    </xf>
    <xf numFmtId="0" fontId="4" fillId="2" borderId="30" xfId="0" applyFont="1" applyFill="1" applyBorder="1"/>
    <xf numFmtId="172" fontId="5" fillId="3" borderId="6" xfId="0" applyNumberFormat="1" applyFont="1" applyFill="1" applyBorder="1" applyAlignment="1" applyProtection="1">
      <alignment horizontal="center"/>
      <protection locked="0"/>
    </xf>
    <xf numFmtId="0" fontId="5" fillId="3" borderId="6" xfId="0" applyFont="1" applyFill="1" applyBorder="1" applyAlignment="1" applyProtection="1">
      <alignment horizontal="center"/>
      <protection locked="0"/>
    </xf>
    <xf numFmtId="0" fontId="4" fillId="2" borderId="27" xfId="0" applyFont="1" applyFill="1" applyBorder="1"/>
    <xf numFmtId="0" fontId="5" fillId="2" borderId="31" xfId="0" applyFont="1" applyFill="1" applyBorder="1" applyAlignment="1">
      <alignment horizontal="center"/>
    </xf>
    <xf numFmtId="0" fontId="5" fillId="2" borderId="32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0" fontId="4" fillId="2" borderId="28" xfId="0" applyFont="1" applyFill="1" applyBorder="1"/>
    <xf numFmtId="0" fontId="5" fillId="3" borderId="34" xfId="0" applyFont="1" applyFill="1" applyBorder="1" applyAlignment="1" applyProtection="1">
      <alignment horizontal="center"/>
      <protection locked="0"/>
    </xf>
    <xf numFmtId="0" fontId="5" fillId="3" borderId="35" xfId="0" applyFont="1" applyFill="1" applyBorder="1" applyAlignment="1" applyProtection="1">
      <alignment horizontal="center"/>
      <protection locked="0"/>
    </xf>
    <xf numFmtId="0" fontId="5" fillId="3" borderId="5" xfId="0" applyFont="1" applyFill="1" applyBorder="1" applyAlignment="1" applyProtection="1">
      <alignment horizontal="center"/>
      <protection locked="0"/>
    </xf>
    <xf numFmtId="0" fontId="4" fillId="2" borderId="3" xfId="0" applyFont="1" applyFill="1" applyBorder="1"/>
    <xf numFmtId="0" fontId="5" fillId="3" borderId="36" xfId="0" applyFont="1" applyFill="1" applyBorder="1" applyAlignment="1" applyProtection="1">
      <alignment horizontal="center"/>
      <protection locked="0"/>
    </xf>
    <xf numFmtId="0" fontId="5" fillId="3" borderId="37" xfId="0" applyFont="1" applyFill="1" applyBorder="1" applyAlignment="1" applyProtection="1">
      <alignment horizontal="center"/>
      <protection locked="0"/>
    </xf>
    <xf numFmtId="0" fontId="5" fillId="3" borderId="38" xfId="0" applyFont="1" applyFill="1" applyBorder="1" applyAlignment="1" applyProtection="1">
      <alignment horizontal="center"/>
      <protection locked="0"/>
    </xf>
    <xf numFmtId="0" fontId="4" fillId="2" borderId="39" xfId="0" applyFont="1" applyFill="1" applyBorder="1"/>
    <xf numFmtId="172" fontId="5" fillId="3" borderId="38" xfId="0" applyNumberFormat="1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/>
      <protection hidden="1"/>
    </xf>
    <xf numFmtId="0" fontId="5" fillId="2" borderId="13" xfId="0" applyFont="1" applyFill="1" applyBorder="1" applyAlignment="1" applyProtection="1">
      <alignment horizontal="center"/>
      <protection hidden="1"/>
    </xf>
    <xf numFmtId="178" fontId="5" fillId="4" borderId="0" xfId="0" applyNumberFormat="1" applyFont="1" applyFill="1" applyBorder="1" applyAlignment="1" applyProtection="1">
      <alignment horizontal="center"/>
      <protection hidden="1"/>
    </xf>
    <xf numFmtId="178" fontId="7" fillId="4" borderId="0" xfId="0" applyNumberFormat="1" applyFont="1" applyFill="1" applyBorder="1" applyAlignment="1" applyProtection="1">
      <alignment horizontal="center" vertical="justify"/>
      <protection hidden="1"/>
    </xf>
    <xf numFmtId="178" fontId="5" fillId="4" borderId="8" xfId="0" applyNumberFormat="1" applyFont="1" applyFill="1" applyBorder="1" applyAlignment="1" applyProtection="1">
      <alignment horizontal="center"/>
      <protection hidden="1"/>
    </xf>
    <xf numFmtId="174" fontId="5" fillId="5" borderId="26" xfId="0" applyNumberFormat="1" applyFont="1" applyFill="1" applyBorder="1" applyAlignment="1" applyProtection="1">
      <alignment horizontal="center"/>
      <protection hidden="1"/>
    </xf>
    <xf numFmtId="174" fontId="5" fillId="5" borderId="40" xfId="0" applyNumberFormat="1" applyFont="1" applyFill="1" applyBorder="1" applyAlignment="1" applyProtection="1">
      <alignment horizontal="center"/>
      <protection hidden="1"/>
    </xf>
    <xf numFmtId="0" fontId="4" fillId="2" borderId="27" xfId="0" applyFont="1" applyFill="1" applyBorder="1" applyProtection="1">
      <protection hidden="1"/>
    </xf>
    <xf numFmtId="0" fontId="0" fillId="0" borderId="27" xfId="0" applyBorder="1"/>
    <xf numFmtId="0" fontId="0" fillId="0" borderId="41" xfId="0" applyBorder="1"/>
    <xf numFmtId="0" fontId="0" fillId="0" borderId="1" xfId="0" applyBorder="1"/>
    <xf numFmtId="0" fontId="0" fillId="0" borderId="0" xfId="0" applyBorder="1"/>
    <xf numFmtId="178" fontId="5" fillId="2" borderId="13" xfId="0" applyNumberFormat="1" applyFont="1" applyFill="1" applyBorder="1" applyAlignment="1" applyProtection="1">
      <alignment horizontal="center"/>
      <protection hidden="1"/>
    </xf>
    <xf numFmtId="0" fontId="12" fillId="0" borderId="17" xfId="0" applyFont="1" applyBorder="1" applyAlignment="1" applyProtection="1">
      <protection hidden="1"/>
    </xf>
    <xf numFmtId="0" fontId="12" fillId="0" borderId="22" xfId="0" applyFont="1" applyBorder="1" applyAlignment="1" applyProtection="1">
      <protection hidden="1"/>
    </xf>
    <xf numFmtId="0" fontId="18" fillId="0" borderId="0" xfId="0" applyFont="1" applyBorder="1" applyAlignment="1" applyProtection="1">
      <alignment horizontal="left"/>
      <protection hidden="1"/>
    </xf>
    <xf numFmtId="0" fontId="18" fillId="0" borderId="8" xfId="0" applyFont="1" applyBorder="1" applyAlignment="1" applyProtection="1">
      <alignment horizontal="left"/>
      <protection hidden="1"/>
    </xf>
    <xf numFmtId="0" fontId="18" fillId="0" borderId="17" xfId="0" applyFont="1" applyBorder="1" applyAlignment="1" applyProtection="1">
      <alignment horizontal="left"/>
      <protection hidden="1"/>
    </xf>
    <xf numFmtId="0" fontId="17" fillId="0" borderId="16" xfId="0" applyFont="1" applyBorder="1" applyProtection="1">
      <protection hidden="1"/>
    </xf>
    <xf numFmtId="0" fontId="4" fillId="0" borderId="13" xfId="0" applyFont="1" applyBorder="1" applyAlignment="1" applyProtection="1">
      <alignment horizontal="center"/>
      <protection hidden="1"/>
    </xf>
    <xf numFmtId="174" fontId="4" fillId="6" borderId="13" xfId="0" applyNumberFormat="1" applyFont="1" applyFill="1" applyBorder="1" applyAlignment="1" applyProtection="1">
      <alignment horizontal="center"/>
      <protection hidden="1"/>
    </xf>
    <xf numFmtId="0" fontId="16" fillId="0" borderId="0" xfId="1" applyAlignment="1" applyProtection="1">
      <protection hidden="1"/>
    </xf>
    <xf numFmtId="0" fontId="13" fillId="7" borderId="11" xfId="0" applyFont="1" applyFill="1" applyBorder="1" applyAlignment="1" applyProtection="1">
      <alignment horizontal="center"/>
      <protection hidden="1"/>
    </xf>
    <xf numFmtId="0" fontId="13" fillId="7" borderId="12" xfId="0" applyFont="1" applyFill="1" applyBorder="1" applyAlignment="1" applyProtection="1">
      <alignment horizontal="center"/>
      <protection hidden="1"/>
    </xf>
    <xf numFmtId="0" fontId="0" fillId="0" borderId="0" xfId="0" applyFill="1" applyBorder="1" applyAlignment="1" applyProtection="1">
      <protection hidden="1"/>
    </xf>
    <xf numFmtId="0" fontId="13" fillId="7" borderId="10" xfId="0" applyFont="1" applyFill="1" applyBorder="1" applyAlignment="1" applyProtection="1">
      <alignment horizontal="left"/>
      <protection hidden="1"/>
    </xf>
    <xf numFmtId="0" fontId="13" fillId="7" borderId="1" xfId="0" applyFont="1" applyFill="1" applyBorder="1" applyAlignment="1" applyProtection="1">
      <alignment horizontal="left"/>
      <protection hidden="1"/>
    </xf>
    <xf numFmtId="0" fontId="13" fillId="7" borderId="0" xfId="0" applyFont="1" applyFill="1" applyBorder="1" applyAlignment="1" applyProtection="1">
      <alignment horizontal="center"/>
      <protection hidden="1"/>
    </xf>
    <xf numFmtId="0" fontId="13" fillId="7" borderId="8" xfId="0" applyFont="1" applyFill="1" applyBorder="1" applyAlignment="1" applyProtection="1">
      <alignment horizontal="center"/>
      <protection hidden="1"/>
    </xf>
    <xf numFmtId="179" fontId="5" fillId="2" borderId="18" xfId="0" applyNumberFormat="1" applyFont="1" applyFill="1" applyBorder="1" applyAlignment="1" applyProtection="1">
      <alignment horizontal="center"/>
      <protection hidden="1"/>
    </xf>
    <xf numFmtId="179" fontId="5" fillId="2" borderId="30" xfId="0" applyNumberFormat="1" applyFont="1" applyFill="1" applyBorder="1" applyAlignment="1" applyProtection="1">
      <alignment horizontal="center"/>
      <protection hidden="1"/>
    </xf>
    <xf numFmtId="178" fontId="5" fillId="3" borderId="6" xfId="0" applyNumberFormat="1" applyFont="1" applyFill="1" applyBorder="1" applyAlignment="1" applyProtection="1">
      <alignment horizontal="center"/>
      <protection locked="0"/>
    </xf>
    <xf numFmtId="0" fontId="20" fillId="0" borderId="0" xfId="0" applyFont="1" applyProtection="1">
      <protection hidden="1"/>
    </xf>
    <xf numFmtId="0" fontId="0" fillId="0" borderId="11" xfId="0" applyFill="1" applyBorder="1"/>
    <xf numFmtId="0" fontId="0" fillId="0" borderId="11" xfId="0" applyBorder="1"/>
    <xf numFmtId="0" fontId="0" fillId="0" borderId="12" xfId="0" applyFill="1" applyBorder="1"/>
    <xf numFmtId="0" fontId="0" fillId="0" borderId="1" xfId="0" applyFill="1" applyBorder="1"/>
    <xf numFmtId="0" fontId="0" fillId="0" borderId="8" xfId="0" applyFill="1" applyBorder="1"/>
    <xf numFmtId="0" fontId="0" fillId="0" borderId="0" xfId="0" applyFill="1" applyBorder="1"/>
    <xf numFmtId="0" fontId="0" fillId="0" borderId="8" xfId="0" applyBorder="1"/>
    <xf numFmtId="0" fontId="4" fillId="0" borderId="0" xfId="0" applyFont="1" applyBorder="1"/>
    <xf numFmtId="0" fontId="0" fillId="0" borderId="16" xfId="0" applyBorder="1"/>
    <xf numFmtId="0" fontId="0" fillId="0" borderId="17" xfId="0" applyBorder="1"/>
    <xf numFmtId="0" fontId="0" fillId="0" borderId="22" xfId="0" applyBorder="1"/>
    <xf numFmtId="0" fontId="4" fillId="2" borderId="8" xfId="0" applyFont="1" applyFill="1" applyBorder="1"/>
    <xf numFmtId="0" fontId="14" fillId="0" borderId="17" xfId="0" applyFont="1" applyFill="1" applyBorder="1" applyAlignment="1" applyProtection="1">
      <alignment horizontal="left"/>
      <protection hidden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19" fillId="0" borderId="0" xfId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19" fillId="0" borderId="0" xfId="1" applyFont="1" applyAlignment="1" applyProtection="1">
      <protection locked="0"/>
    </xf>
    <xf numFmtId="0" fontId="1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4" fillId="0" borderId="19" xfId="0" applyFont="1" applyBorder="1" applyAlignment="1" applyProtection="1">
      <alignment horizontal="center"/>
      <protection hidden="1"/>
    </xf>
    <xf numFmtId="0" fontId="23" fillId="0" borderId="0" xfId="0" applyFont="1"/>
    <xf numFmtId="0" fontId="0" fillId="0" borderId="8" xfId="0" applyFill="1" applyBorder="1" applyAlignment="1" applyProtection="1">
      <protection hidden="1"/>
    </xf>
    <xf numFmtId="2" fontId="5" fillId="2" borderId="9" xfId="0" applyNumberFormat="1" applyFont="1" applyFill="1" applyBorder="1" applyAlignment="1" applyProtection="1">
      <alignment horizontal="center"/>
      <protection hidden="1"/>
    </xf>
    <xf numFmtId="0" fontId="0" fillId="0" borderId="17" xfId="0" applyFill="1" applyBorder="1" applyAlignment="1" applyProtection="1">
      <protection hidden="1"/>
    </xf>
    <xf numFmtId="0" fontId="0" fillId="0" borderId="22" xfId="0" applyFill="1" applyBorder="1" applyAlignment="1" applyProtection="1">
      <protection hidden="1"/>
    </xf>
    <xf numFmtId="0" fontId="0" fillId="0" borderId="17" xfId="0" applyBorder="1" applyAlignment="1" applyProtection="1">
      <protection hidden="1"/>
    </xf>
    <xf numFmtId="0" fontId="0" fillId="0" borderId="22" xfId="0" applyBorder="1" applyAlignment="1" applyProtection="1">
      <protection hidden="1"/>
    </xf>
    <xf numFmtId="0" fontId="12" fillId="0" borderId="0" xfId="0" applyFont="1" applyBorder="1" applyProtection="1">
      <protection hidden="1"/>
    </xf>
    <xf numFmtId="0" fontId="10" fillId="0" borderId="41" xfId="0" applyFont="1" applyBorder="1" applyAlignment="1" applyProtection="1">
      <alignment horizontal="left"/>
      <protection hidden="1"/>
    </xf>
    <xf numFmtId="0" fontId="10" fillId="0" borderId="24" xfId="0" applyFont="1" applyBorder="1" applyAlignment="1" applyProtection="1">
      <alignment horizontal="left"/>
      <protection hidden="1"/>
    </xf>
    <xf numFmtId="0" fontId="10" fillId="0" borderId="0" xfId="0" applyFont="1" applyBorder="1" applyAlignment="1" applyProtection="1">
      <alignment horizontal="left"/>
      <protection hidden="1"/>
    </xf>
    <xf numFmtId="0" fontId="10" fillId="0" borderId="8" xfId="0" applyFont="1" applyBorder="1" applyAlignment="1" applyProtection="1">
      <alignment horizontal="left"/>
      <protection hidden="1"/>
    </xf>
    <xf numFmtId="0" fontId="14" fillId="0" borderId="17" xfId="0" applyFont="1" applyBorder="1" applyAlignment="1" applyProtection="1">
      <alignment horizontal="left"/>
      <protection hidden="1"/>
    </xf>
    <xf numFmtId="0" fontId="11" fillId="0" borderId="17" xfId="0" applyFont="1" applyBorder="1" applyAlignment="1" applyProtection="1">
      <alignment horizontal="left"/>
      <protection hidden="1"/>
    </xf>
    <xf numFmtId="3" fontId="4" fillId="2" borderId="9" xfId="0" applyNumberFormat="1" applyFont="1" applyFill="1" applyBorder="1" applyAlignment="1" applyProtection="1">
      <alignment horizontal="center"/>
      <protection hidden="1"/>
    </xf>
    <xf numFmtId="0" fontId="10" fillId="0" borderId="27" xfId="0" applyFont="1" applyFill="1" applyBorder="1" applyAlignment="1" applyProtection="1">
      <alignment horizontal="left"/>
      <protection hidden="1"/>
    </xf>
    <xf numFmtId="0" fontId="10" fillId="0" borderId="41" xfId="0" applyFont="1" applyFill="1" applyBorder="1" applyAlignment="1" applyProtection="1">
      <alignment horizontal="left"/>
      <protection hidden="1"/>
    </xf>
    <xf numFmtId="0" fontId="10" fillId="0" borderId="24" xfId="0" applyFont="1" applyFill="1" applyBorder="1" applyAlignment="1" applyProtection="1">
      <alignment horizontal="left"/>
      <protection hidden="1"/>
    </xf>
    <xf numFmtId="0" fontId="10" fillId="0" borderId="1" xfId="0" applyFont="1" applyFill="1" applyBorder="1" applyAlignment="1" applyProtection="1">
      <alignment horizontal="left"/>
      <protection hidden="1"/>
    </xf>
    <xf numFmtId="0" fontId="10" fillId="0" borderId="0" xfId="0" applyFont="1" applyFill="1" applyBorder="1" applyAlignment="1" applyProtection="1">
      <alignment horizontal="left"/>
      <protection hidden="1"/>
    </xf>
    <xf numFmtId="0" fontId="10" fillId="0" borderId="8" xfId="0" applyFont="1" applyFill="1" applyBorder="1" applyAlignment="1" applyProtection="1">
      <alignment horizontal="left"/>
      <protection hidden="1"/>
    </xf>
    <xf numFmtId="0" fontId="14" fillId="0" borderId="16" xfId="0" applyFont="1" applyFill="1" applyBorder="1" applyAlignment="1" applyProtection="1">
      <alignment horizontal="left"/>
      <protection hidden="1"/>
    </xf>
    <xf numFmtId="0" fontId="11" fillId="0" borderId="17" xfId="0" applyFont="1" applyFill="1" applyBorder="1" applyAlignment="1" applyProtection="1">
      <alignment horizontal="left"/>
      <protection hidden="1"/>
    </xf>
    <xf numFmtId="0" fontId="12" fillId="0" borderId="1" xfId="0" applyFont="1" applyBorder="1" applyProtection="1">
      <protection hidden="1"/>
    </xf>
    <xf numFmtId="0" fontId="0" fillId="0" borderId="31" xfId="0" applyBorder="1" applyProtection="1">
      <protection hidden="1"/>
    </xf>
    <xf numFmtId="0" fontId="5" fillId="4" borderId="3" xfId="0" applyFont="1" applyFill="1" applyBorder="1" applyAlignment="1" applyProtection="1">
      <alignment horizontal="center"/>
      <protection hidden="1"/>
    </xf>
    <xf numFmtId="0" fontId="4" fillId="0" borderId="35" xfId="0" applyFont="1" applyBorder="1" applyAlignment="1" applyProtection="1">
      <alignment horizontal="center"/>
      <protection hidden="1"/>
    </xf>
    <xf numFmtId="174" fontId="4" fillId="6" borderId="15" xfId="0" applyNumberFormat="1" applyFont="1" applyFill="1" applyBorder="1" applyAlignment="1" applyProtection="1">
      <alignment horizontal="center"/>
      <protection hidden="1"/>
    </xf>
    <xf numFmtId="0" fontId="5" fillId="4" borderId="42" xfId="0" applyFont="1" applyFill="1" applyBorder="1" applyAlignment="1" applyProtection="1">
      <alignment horizontal="center"/>
      <protection hidden="1"/>
    </xf>
    <xf numFmtId="0" fontId="5" fillId="4" borderId="28" xfId="0" applyFont="1" applyFill="1" applyBorder="1" applyAlignment="1" applyProtection="1">
      <alignment horizontal="center"/>
      <protection hidden="1"/>
    </xf>
    <xf numFmtId="0" fontId="17" fillId="0" borderId="0" xfId="0" applyFont="1" applyBorder="1" applyAlignment="1" applyProtection="1">
      <alignment horizontal="center"/>
      <protection hidden="1"/>
    </xf>
    <xf numFmtId="0" fontId="26" fillId="0" borderId="0" xfId="0" applyFont="1"/>
    <xf numFmtId="0" fontId="22" fillId="0" borderId="0" xfId="1" applyFont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28" fillId="0" borderId="1" xfId="0" applyFont="1" applyFill="1" applyBorder="1" applyAlignment="1" applyProtection="1">
      <alignment horizontal="left"/>
      <protection hidden="1"/>
    </xf>
    <xf numFmtId="167" fontId="5" fillId="2" borderId="18" xfId="0" applyNumberFormat="1" applyFont="1" applyFill="1" applyBorder="1" applyAlignment="1" applyProtection="1">
      <alignment horizontal="center"/>
      <protection hidden="1"/>
    </xf>
    <xf numFmtId="167" fontId="5" fillId="2" borderId="30" xfId="0" applyNumberFormat="1" applyFont="1" applyFill="1" applyBorder="1" applyAlignment="1" applyProtection="1">
      <alignment horizontal="center"/>
      <protection hidden="1"/>
    </xf>
    <xf numFmtId="167" fontId="27" fillId="2" borderId="18" xfId="0" applyNumberFormat="1" applyFont="1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0" fontId="0" fillId="0" borderId="0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hidden="1"/>
    </xf>
    <xf numFmtId="0" fontId="16" fillId="0" borderId="0" xfId="1" applyAlignment="1" applyProtection="1"/>
    <xf numFmtId="0" fontId="4" fillId="0" borderId="0" xfId="0" applyFont="1" applyBorder="1" applyAlignment="1" applyProtection="1">
      <alignment horizontal="center"/>
      <protection hidden="1"/>
    </xf>
    <xf numFmtId="0" fontId="0" fillId="0" borderId="8" xfId="0" applyBorder="1" applyAlignment="1">
      <alignment horizontal="center"/>
    </xf>
    <xf numFmtId="0" fontId="0" fillId="0" borderId="10" xfId="0" applyFill="1" applyBorder="1" applyProtection="1">
      <protection locked="0"/>
    </xf>
    <xf numFmtId="0" fontId="29" fillId="0" borderId="0" xfId="0" applyFont="1"/>
    <xf numFmtId="0" fontId="25" fillId="0" borderId="0" xfId="0" applyFont="1"/>
    <xf numFmtId="0" fontId="0" fillId="0" borderId="0" xfId="0" applyAlignment="1">
      <alignment horizontal="left"/>
    </xf>
    <xf numFmtId="0" fontId="3" fillId="3" borderId="43" xfId="0" applyFont="1" applyFill="1" applyBorder="1" applyAlignment="1">
      <alignment horizontal="center"/>
    </xf>
    <xf numFmtId="0" fontId="0" fillId="0" borderId="44" xfId="0" applyBorder="1" applyAlignment="1">
      <alignment horizontal="center"/>
    </xf>
    <xf numFmtId="0" fontId="2" fillId="8" borderId="16" xfId="0" applyFont="1" applyFill="1" applyBorder="1" applyAlignment="1" applyProtection="1">
      <alignment horizontal="center"/>
      <protection hidden="1"/>
    </xf>
    <xf numFmtId="0" fontId="0" fillId="0" borderId="17" xfId="0" applyBorder="1" applyAlignment="1">
      <alignment horizontal="center"/>
    </xf>
    <xf numFmtId="0" fontId="0" fillId="0" borderId="22" xfId="0" applyBorder="1" applyAlignment="1">
      <alignment horizontal="center"/>
    </xf>
    <xf numFmtId="0" fontId="5" fillId="2" borderId="31" xfId="0" applyFont="1" applyFill="1" applyBorder="1" applyAlignment="1">
      <alignment wrapText="1"/>
    </xf>
    <xf numFmtId="0" fontId="4" fillId="0" borderId="32" xfId="0" applyFont="1" applyBorder="1" applyAlignment="1">
      <alignment wrapText="1"/>
    </xf>
    <xf numFmtId="0" fontId="4" fillId="0" borderId="33" xfId="0" applyFont="1" applyBorder="1" applyAlignment="1">
      <alignment wrapText="1"/>
    </xf>
    <xf numFmtId="0" fontId="5" fillId="7" borderId="31" xfId="0" applyFont="1" applyFill="1" applyBorder="1" applyAlignment="1">
      <alignment horizontal="left"/>
    </xf>
    <xf numFmtId="0" fontId="0" fillId="0" borderId="33" xfId="0" applyBorder="1"/>
    <xf numFmtId="0" fontId="5" fillId="7" borderId="45" xfId="0" applyFont="1" applyFill="1" applyBorder="1" applyAlignment="1">
      <alignment horizontal="left" wrapText="1"/>
    </xf>
    <xf numFmtId="0" fontId="4" fillId="0" borderId="46" xfId="0" applyFont="1" applyBorder="1" applyAlignment="1">
      <alignment wrapText="1"/>
    </xf>
    <xf numFmtId="0" fontId="25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Fill="1" applyBorder="1" applyAlignment="1" applyProtection="1">
      <alignment horizontal="center"/>
      <protection hidden="1"/>
    </xf>
    <xf numFmtId="0" fontId="5" fillId="0" borderId="8" xfId="0" applyFont="1" applyFill="1" applyBorder="1" applyAlignment="1" applyProtection="1">
      <alignment horizontal="center"/>
      <protection hidden="1"/>
    </xf>
    <xf numFmtId="0" fontId="24" fillId="0" borderId="11" xfId="1" applyFont="1" applyBorder="1" applyAlignment="1" applyProtection="1">
      <alignment horizontal="center" vertical="center" wrapText="1"/>
      <protection hidden="1"/>
    </xf>
    <xf numFmtId="0" fontId="24" fillId="0" borderId="0" xfId="1" applyFont="1" applyBorder="1" applyAlignment="1" applyProtection="1">
      <alignment horizontal="center" vertical="center" wrapText="1"/>
    </xf>
    <xf numFmtId="0" fontId="19" fillId="0" borderId="0" xfId="1" applyFont="1" applyBorder="1" applyAlignment="1" applyProtection="1">
      <alignment horizontal="center"/>
      <protection locked="0"/>
    </xf>
    <xf numFmtId="0" fontId="13" fillId="7" borderId="10" xfId="0" applyFont="1" applyFill="1" applyBorder="1" applyAlignment="1" applyProtection="1">
      <alignment horizontal="center"/>
      <protection hidden="1"/>
    </xf>
    <xf numFmtId="0" fontId="13" fillId="7" borderId="11" xfId="0" applyFont="1" applyFill="1" applyBorder="1" applyAlignment="1" applyProtection="1">
      <alignment horizontal="center"/>
      <protection hidden="1"/>
    </xf>
    <xf numFmtId="0" fontId="13" fillId="7" borderId="12" xfId="0" applyFont="1" applyFill="1" applyBorder="1" applyAlignment="1" applyProtection="1">
      <alignment horizontal="center"/>
      <protection hidden="1"/>
    </xf>
    <xf numFmtId="0" fontId="2" fillId="8" borderId="1" xfId="0" applyFont="1" applyFill="1" applyBorder="1" applyAlignment="1" applyProtection="1">
      <alignment horizontal="center"/>
      <protection hidden="1"/>
    </xf>
    <xf numFmtId="0" fontId="2" fillId="8" borderId="0" xfId="0" applyFont="1" applyFill="1" applyBorder="1" applyAlignment="1" applyProtection="1">
      <alignment horizontal="center"/>
      <protection hidden="1"/>
    </xf>
    <xf numFmtId="0" fontId="2" fillId="8" borderId="8" xfId="0" applyFont="1" applyFill="1" applyBorder="1" applyAlignment="1" applyProtection="1">
      <alignment horizontal="center"/>
      <protection hidden="1"/>
    </xf>
    <xf numFmtId="0" fontId="5" fillId="7" borderId="31" xfId="0" applyFont="1" applyFill="1" applyBorder="1" applyAlignment="1" applyProtection="1">
      <alignment horizontal="left"/>
      <protection hidden="1"/>
    </xf>
    <xf numFmtId="0" fontId="5" fillId="7" borderId="33" xfId="0" applyFont="1" applyFill="1" applyBorder="1" applyAlignment="1" applyProtection="1">
      <alignment horizontal="left"/>
      <protection hidden="1"/>
    </xf>
    <xf numFmtId="0" fontId="5" fillId="0" borderId="11" xfId="0" applyFont="1" applyFill="1" applyBorder="1" applyAlignment="1" applyProtection="1">
      <alignment horizontal="center" vertical="justify"/>
      <protection hidden="1"/>
    </xf>
    <xf numFmtId="0" fontId="0" fillId="0" borderId="11" xfId="0" applyFill="1" applyBorder="1" applyAlignment="1" applyProtection="1">
      <protection hidden="1"/>
    </xf>
    <xf numFmtId="0" fontId="0" fillId="0" borderId="0" xfId="0" applyAlignment="1"/>
    <xf numFmtId="0" fontId="22" fillId="0" borderId="0" xfId="1" applyFont="1" applyBorder="1" applyAlignment="1" applyProtection="1">
      <alignment horizontal="center"/>
      <protection locked="0"/>
    </xf>
    <xf numFmtId="0" fontId="0" fillId="0" borderId="8" xfId="0" applyBorder="1" applyAlignment="1"/>
    <xf numFmtId="0" fontId="5" fillId="5" borderId="17" xfId="0" applyFont="1" applyFill="1" applyBorder="1" applyAlignment="1" applyProtection="1">
      <alignment horizontal="center"/>
      <protection hidden="1"/>
    </xf>
    <xf numFmtId="0" fontId="5" fillId="5" borderId="22" xfId="0" applyFont="1" applyFill="1" applyBorder="1" applyAlignment="1" applyProtection="1">
      <alignment horizontal="center"/>
      <protection hidden="1"/>
    </xf>
    <xf numFmtId="0" fontId="10" fillId="0" borderId="27" xfId="0" applyFont="1" applyFill="1" applyBorder="1" applyAlignment="1" applyProtection="1">
      <alignment horizontal="left" wrapText="1"/>
      <protection hidden="1"/>
    </xf>
    <xf numFmtId="0" fontId="10" fillId="0" borderId="41" xfId="0" applyFont="1" applyFill="1" applyBorder="1" applyAlignment="1" applyProtection="1">
      <alignment horizontal="left" wrapText="1"/>
      <protection hidden="1"/>
    </xf>
    <xf numFmtId="0" fontId="10" fillId="0" borderId="24" xfId="0" applyFont="1" applyFill="1" applyBorder="1" applyAlignment="1" applyProtection="1">
      <alignment horizontal="left" wrapText="1"/>
      <protection hidden="1"/>
    </xf>
    <xf numFmtId="0" fontId="12" fillId="0" borderId="16" xfId="0" applyFont="1" applyBorder="1" applyProtection="1">
      <protection hidden="1"/>
    </xf>
    <xf numFmtId="0" fontId="12" fillId="0" borderId="17" xfId="0" applyFont="1" applyBorder="1" applyProtection="1">
      <protection hidden="1"/>
    </xf>
    <xf numFmtId="0" fontId="10" fillId="0" borderId="1" xfId="0" applyFont="1" applyFill="1" applyBorder="1" applyAlignment="1" applyProtection="1">
      <alignment horizontal="left" wrapText="1"/>
      <protection hidden="1"/>
    </xf>
    <xf numFmtId="0" fontId="10" fillId="0" borderId="0" xfId="0" applyFont="1" applyFill="1" applyBorder="1" applyAlignment="1" applyProtection="1">
      <alignment horizontal="left" wrapText="1"/>
      <protection hidden="1"/>
    </xf>
    <xf numFmtId="0" fontId="10" fillId="0" borderId="8" xfId="0" applyFont="1" applyFill="1" applyBorder="1" applyAlignment="1" applyProtection="1">
      <alignment horizontal="left" wrapText="1"/>
      <protection hidden="1"/>
    </xf>
    <xf numFmtId="0" fontId="14" fillId="0" borderId="16" xfId="0" applyFont="1" applyFill="1" applyBorder="1" applyAlignment="1" applyProtection="1">
      <alignment horizontal="left" wrapText="1"/>
      <protection hidden="1"/>
    </xf>
    <xf numFmtId="0" fontId="14" fillId="0" borderId="17" xfId="0" applyFont="1" applyFill="1" applyBorder="1" applyAlignment="1" applyProtection="1">
      <alignment horizontal="left" wrapText="1"/>
      <protection hidden="1"/>
    </xf>
    <xf numFmtId="0" fontId="11" fillId="0" borderId="17" xfId="0" applyFont="1" applyFill="1" applyBorder="1" applyAlignment="1" applyProtection="1">
      <alignment horizontal="left" wrapText="1"/>
      <protection hidden="1"/>
    </xf>
    <xf numFmtId="0" fontId="0" fillId="0" borderId="17" xfId="0" applyFill="1" applyBorder="1" applyAlignment="1" applyProtection="1">
      <protection hidden="1"/>
    </xf>
    <xf numFmtId="0" fontId="0" fillId="0" borderId="22" xfId="0" applyFill="1" applyBorder="1" applyAlignment="1" applyProtection="1">
      <protection hidden="1"/>
    </xf>
    <xf numFmtId="0" fontId="11" fillId="0" borderId="1" xfId="0" applyFont="1" applyFill="1" applyBorder="1" applyAlignment="1" applyProtection="1">
      <alignment horizontal="left" wrapText="1"/>
      <protection hidden="1"/>
    </xf>
    <xf numFmtId="0" fontId="11" fillId="0" borderId="0" xfId="0" applyFont="1" applyFill="1" applyBorder="1" applyAlignment="1" applyProtection="1">
      <alignment horizontal="left" wrapText="1"/>
      <protection hidden="1"/>
    </xf>
    <xf numFmtId="0" fontId="0" fillId="0" borderId="0" xfId="0" applyFill="1" applyBorder="1" applyAlignment="1" applyProtection="1">
      <protection hidden="1"/>
    </xf>
    <xf numFmtId="0" fontId="0" fillId="0" borderId="8" xfId="0" applyFill="1" applyBorder="1" applyAlignment="1" applyProtection="1">
      <protection hidden="1"/>
    </xf>
    <xf numFmtId="0" fontId="10" fillId="0" borderId="1" xfId="0" applyFont="1" applyBorder="1" applyAlignment="1" applyProtection="1">
      <alignment horizontal="left" wrapText="1"/>
      <protection hidden="1"/>
    </xf>
    <xf numFmtId="0" fontId="10" fillId="0" borderId="0" xfId="0" applyFont="1" applyBorder="1" applyAlignment="1" applyProtection="1">
      <alignment horizontal="left" wrapText="1"/>
      <protection hidden="1"/>
    </xf>
    <xf numFmtId="0" fontId="10" fillId="0" borderId="8" xfId="0" applyFont="1" applyBorder="1" applyAlignment="1" applyProtection="1">
      <alignment horizontal="left" wrapText="1"/>
      <protection hidden="1"/>
    </xf>
    <xf numFmtId="0" fontId="5" fillId="0" borderId="0" xfId="0" applyFont="1" applyBorder="1" applyAlignment="1" applyProtection="1">
      <alignment horizontal="center"/>
      <protection hidden="1"/>
    </xf>
    <xf numFmtId="0" fontId="5" fillId="0" borderId="8" xfId="0" applyFont="1" applyBorder="1" applyAlignment="1" applyProtection="1">
      <alignment horizontal="center"/>
      <protection hidden="1"/>
    </xf>
    <xf numFmtId="0" fontId="10" fillId="0" borderId="27" xfId="0" applyFont="1" applyBorder="1" applyAlignment="1" applyProtection="1">
      <alignment horizontal="left" wrapText="1"/>
      <protection hidden="1"/>
    </xf>
    <xf numFmtId="0" fontId="10" fillId="0" borderId="41" xfId="0" applyFont="1" applyBorder="1" applyAlignment="1" applyProtection="1">
      <alignment horizontal="left" wrapText="1"/>
      <protection hidden="1"/>
    </xf>
    <xf numFmtId="0" fontId="10" fillId="0" borderId="24" xfId="0" applyFont="1" applyBorder="1" applyAlignment="1" applyProtection="1">
      <alignment horizontal="left" wrapText="1"/>
      <protection hidden="1"/>
    </xf>
    <xf numFmtId="0" fontId="5" fillId="0" borderId="11" xfId="0" applyFont="1" applyBorder="1" applyAlignment="1" applyProtection="1">
      <alignment horizontal="center" vertical="justify"/>
      <protection hidden="1"/>
    </xf>
    <xf numFmtId="0" fontId="0" fillId="0" borderId="11" xfId="0" applyBorder="1" applyAlignment="1" applyProtection="1">
      <protection hidden="1"/>
    </xf>
    <xf numFmtId="0" fontId="3" fillId="0" borderId="0" xfId="0" applyFont="1" applyAlignment="1"/>
    <xf numFmtId="0" fontId="14" fillId="0" borderId="16" xfId="0" applyFont="1" applyBorder="1" applyAlignment="1" applyProtection="1">
      <alignment horizontal="left" wrapText="1"/>
      <protection hidden="1"/>
    </xf>
    <xf numFmtId="0" fontId="14" fillId="0" borderId="17" xfId="0" applyFont="1" applyBorder="1" applyAlignment="1" applyProtection="1">
      <alignment horizontal="left" wrapText="1"/>
      <protection hidden="1"/>
    </xf>
    <xf numFmtId="0" fontId="11" fillId="0" borderId="17" xfId="0" applyFont="1" applyBorder="1" applyAlignment="1" applyProtection="1">
      <alignment horizontal="left" wrapText="1"/>
      <protection hidden="1"/>
    </xf>
    <xf numFmtId="0" fontId="0" fillId="0" borderId="17" xfId="0" applyBorder="1" applyAlignment="1" applyProtection="1">
      <protection hidden="1"/>
    </xf>
    <xf numFmtId="0" fontId="0" fillId="0" borderId="22" xfId="0" applyBorder="1" applyAlignment="1" applyProtection="1">
      <protection hidden="1"/>
    </xf>
    <xf numFmtId="0" fontId="19" fillId="0" borderId="0" xfId="1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Border="1" applyAlignment="1"/>
    <xf numFmtId="0" fontId="5" fillId="7" borderId="7" xfId="0" applyFont="1" applyFill="1" applyBorder="1" applyAlignment="1" applyProtection="1">
      <alignment horizontal="left"/>
      <protection hidden="1"/>
    </xf>
    <xf numFmtId="0" fontId="5" fillId="7" borderId="15" xfId="0" applyFont="1" applyFill="1" applyBorder="1" applyAlignment="1" applyProtection="1">
      <alignment horizontal="left"/>
      <protection hidden="1"/>
    </xf>
  </cellXfs>
  <cellStyles count="2">
    <cellStyle name="Hyperlink" xfId="1" builtinId="8"/>
    <cellStyle name="Normal" xfId="0" builtinId="0"/>
  </cellStyles>
  <dxfs count="512"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auto="1"/>
      </font>
      <fill>
        <patternFill>
          <bgColor indexed="11"/>
        </patternFill>
      </fill>
    </dxf>
    <dxf>
      <font>
        <b/>
        <i val="0"/>
        <condense val="0"/>
        <extend val="0"/>
        <color auto="1"/>
      </font>
      <fill>
        <patternFill>
          <bgColor indexed="11"/>
        </patternFill>
      </fill>
    </dxf>
    <dxf>
      <font>
        <b/>
        <i val="0"/>
        <condense val="0"/>
        <extend val="0"/>
        <color auto="1"/>
      </font>
      <fill>
        <patternFill>
          <bgColor indexed="11"/>
        </patternFill>
      </fill>
    </dxf>
    <dxf>
      <font>
        <b/>
        <i val="0"/>
        <condense val="0"/>
        <extend val="0"/>
        <color auto="1"/>
      </font>
      <fill>
        <patternFill>
          <bgColor indexed="11"/>
        </patternFill>
      </fill>
    </dxf>
    <dxf>
      <font>
        <b/>
        <i val="0"/>
        <condense val="0"/>
        <extend val="0"/>
        <color auto="1"/>
      </font>
      <fill>
        <patternFill>
          <bgColor indexed="11"/>
        </patternFill>
      </fill>
    </dxf>
    <dxf>
      <font>
        <b/>
        <i val="0"/>
        <condense val="0"/>
        <extend val="0"/>
        <color auto="1"/>
      </font>
      <fill>
        <patternFill>
          <bgColor indexed="11"/>
        </patternFill>
      </fill>
    </dxf>
    <dxf>
      <font>
        <b/>
        <i val="0"/>
        <condense val="0"/>
        <extend val="0"/>
        <color auto="1"/>
      </font>
      <fill>
        <patternFill>
          <bgColor indexed="11"/>
        </patternFill>
      </fill>
    </dxf>
    <dxf>
      <font>
        <b/>
        <i val="0"/>
        <condense val="0"/>
        <extend val="0"/>
        <color auto="1"/>
      </font>
      <fill>
        <patternFill>
          <bgColor indexed="11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76200</xdr:rowOff>
    </xdr:from>
    <xdr:to>
      <xdr:col>10</xdr:col>
      <xdr:colOff>0</xdr:colOff>
      <xdr:row>11</xdr:row>
      <xdr:rowOff>9525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A3CB2B41-A08F-061F-26C0-FE09D5FBD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00075"/>
          <a:ext cx="5486400" cy="122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uwex.edu/ces/crops/NComparison.htm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showGridLines="0" tabSelected="1" workbookViewId="0">
      <selection activeCell="F24" sqref="F24"/>
    </sheetView>
  </sheetViews>
  <sheetFormatPr defaultRowHeight="12.75" x14ac:dyDescent="0.2"/>
  <cols>
    <col min="1" max="1" width="3.5703125" customWidth="1"/>
    <col min="2" max="2" width="18.140625" customWidth="1"/>
    <col min="3" max="3" width="10.85546875" customWidth="1"/>
    <col min="5" max="5" width="19.28515625" customWidth="1"/>
    <col min="8" max="8" width="10.7109375" customWidth="1"/>
    <col min="9" max="9" width="3.42578125" customWidth="1"/>
    <col min="10" max="10" width="3.5703125" style="153" customWidth="1"/>
    <col min="11" max="11" width="16.5703125" customWidth="1"/>
    <col min="12" max="12" width="7.42578125" customWidth="1"/>
  </cols>
  <sheetData>
    <row r="1" spans="1:11" ht="13.5" thickBot="1" x14ac:dyDescent="0.25">
      <c r="A1" s="211"/>
      <c r="B1" s="139"/>
      <c r="C1" s="139"/>
      <c r="D1" s="139"/>
      <c r="E1" s="139"/>
      <c r="F1" s="139"/>
      <c r="G1" s="140"/>
      <c r="H1" s="140"/>
      <c r="I1" s="141"/>
      <c r="K1" t="s">
        <v>124</v>
      </c>
    </row>
    <row r="2" spans="1:11" ht="20.25" x14ac:dyDescent="0.3">
      <c r="A2" s="142"/>
      <c r="B2" s="131" t="s">
        <v>71</v>
      </c>
      <c r="C2" s="128"/>
      <c r="D2" s="128"/>
      <c r="E2" s="128"/>
      <c r="F2" s="129"/>
      <c r="G2" s="117"/>
      <c r="H2" s="117"/>
      <c r="I2" s="143"/>
      <c r="K2" s="197" t="s">
        <v>114</v>
      </c>
    </row>
    <row r="3" spans="1:11" ht="20.25" x14ac:dyDescent="0.3">
      <c r="A3" s="142"/>
      <c r="B3" s="132" t="s">
        <v>72</v>
      </c>
      <c r="C3" s="133"/>
      <c r="D3" s="133"/>
      <c r="E3" s="133"/>
      <c r="F3" s="134"/>
      <c r="G3" s="117"/>
      <c r="H3" s="117"/>
      <c r="I3" s="143"/>
    </row>
    <row r="4" spans="1:11" ht="21" thickBot="1" x14ac:dyDescent="0.35">
      <c r="A4" s="142"/>
      <c r="B4" s="217" t="s">
        <v>73</v>
      </c>
      <c r="C4" s="218"/>
      <c r="D4" s="218"/>
      <c r="E4" s="218"/>
      <c r="F4" s="219"/>
      <c r="G4" s="117"/>
      <c r="H4" s="117"/>
      <c r="I4" s="143"/>
    </row>
    <row r="5" spans="1:11" ht="13.5" thickBot="1" x14ac:dyDescent="0.25">
      <c r="A5" s="142"/>
      <c r="B5" s="144"/>
      <c r="C5" s="144"/>
      <c r="D5" s="144"/>
      <c r="E5" s="144"/>
      <c r="F5" s="144"/>
      <c r="G5" s="117"/>
      <c r="I5" s="145"/>
    </row>
    <row r="6" spans="1:11" ht="15.75" thickBot="1" x14ac:dyDescent="0.3">
      <c r="A6" s="116"/>
      <c r="B6" s="223" t="s">
        <v>39</v>
      </c>
      <c r="C6" s="224"/>
      <c r="D6" s="117"/>
      <c r="E6" s="117"/>
      <c r="F6" s="117"/>
      <c r="G6" s="117"/>
      <c r="H6" s="117"/>
      <c r="I6" s="145"/>
      <c r="K6" s="152" t="s">
        <v>89</v>
      </c>
    </row>
    <row r="7" spans="1:11" ht="15.75" thickBot="1" x14ac:dyDescent="0.3">
      <c r="A7" s="116"/>
      <c r="B7" s="6" t="s">
        <v>1</v>
      </c>
      <c r="C7" s="7" t="s">
        <v>2</v>
      </c>
      <c r="D7" s="117"/>
      <c r="E7" s="225" t="s">
        <v>46</v>
      </c>
      <c r="F7" s="220" t="s">
        <v>35</v>
      </c>
      <c r="G7" s="221"/>
      <c r="H7" s="222"/>
      <c r="I7" s="145"/>
      <c r="K7" s="156" t="s">
        <v>90</v>
      </c>
    </row>
    <row r="8" spans="1:11" ht="15.75" thickBot="1" x14ac:dyDescent="0.3">
      <c r="A8" s="116"/>
      <c r="B8" s="4" t="s">
        <v>37</v>
      </c>
      <c r="C8" s="58">
        <v>700</v>
      </c>
      <c r="D8" s="117"/>
      <c r="E8" s="226"/>
      <c r="F8" s="93" t="s">
        <v>43</v>
      </c>
      <c r="G8" s="94" t="s">
        <v>44</v>
      </c>
      <c r="H8" s="95" t="s">
        <v>45</v>
      </c>
      <c r="I8" s="145"/>
      <c r="K8" s="156" t="s">
        <v>91</v>
      </c>
    </row>
    <row r="9" spans="1:11" ht="15" x14ac:dyDescent="0.25">
      <c r="A9" s="116"/>
      <c r="B9" s="4" t="s">
        <v>4</v>
      </c>
      <c r="C9" s="8">
        <v>46</v>
      </c>
      <c r="D9" s="117"/>
      <c r="E9" s="96" t="s">
        <v>31</v>
      </c>
      <c r="F9" s="97">
        <v>90</v>
      </c>
      <c r="G9" s="98">
        <v>70</v>
      </c>
      <c r="H9" s="99">
        <v>40</v>
      </c>
      <c r="I9" s="145"/>
      <c r="K9" s="156" t="s">
        <v>92</v>
      </c>
    </row>
    <row r="10" spans="1:11" ht="15.75" thickBot="1" x14ac:dyDescent="0.3">
      <c r="A10" s="116"/>
      <c r="B10" s="4" t="s">
        <v>5</v>
      </c>
      <c r="C10" s="60">
        <f>(C8/((C9/100)*2200))</f>
        <v>0.69169960474308301</v>
      </c>
      <c r="D10" s="117"/>
      <c r="E10" s="100" t="s">
        <v>32</v>
      </c>
      <c r="F10" s="101">
        <v>90</v>
      </c>
      <c r="G10" s="102">
        <v>50</v>
      </c>
      <c r="H10" s="103">
        <v>40</v>
      </c>
      <c r="I10" s="145"/>
      <c r="J10" s="157"/>
      <c r="K10" s="156" t="s">
        <v>93</v>
      </c>
    </row>
    <row r="11" spans="1:11" ht="15" x14ac:dyDescent="0.25">
      <c r="A11" s="116"/>
      <c r="B11" s="1" t="s">
        <v>20</v>
      </c>
      <c r="C11" s="88">
        <v>10</v>
      </c>
      <c r="D11" s="117"/>
      <c r="E11" s="100" t="s">
        <v>33</v>
      </c>
      <c r="F11" s="91">
        <v>70</v>
      </c>
      <c r="G11" s="146"/>
      <c r="H11" s="146"/>
      <c r="I11" s="145"/>
      <c r="K11" s="156" t="s">
        <v>94</v>
      </c>
    </row>
    <row r="12" spans="1:11" ht="15" x14ac:dyDescent="0.25">
      <c r="A12" s="116"/>
      <c r="B12" s="5" t="s">
        <v>106</v>
      </c>
      <c r="C12" s="89"/>
      <c r="D12" s="117"/>
      <c r="E12" s="100" t="s">
        <v>34</v>
      </c>
      <c r="F12" s="91">
        <v>100</v>
      </c>
      <c r="G12" s="146"/>
      <c r="H12" s="146"/>
      <c r="I12" s="145"/>
      <c r="K12" s="156" t="s">
        <v>95</v>
      </c>
    </row>
    <row r="13" spans="1:11" ht="15" x14ac:dyDescent="0.25">
      <c r="A13" s="116"/>
      <c r="B13" s="2" t="s">
        <v>108</v>
      </c>
      <c r="C13" s="90">
        <v>0.5</v>
      </c>
      <c r="D13" s="117"/>
      <c r="E13" s="9" t="s">
        <v>36</v>
      </c>
      <c r="F13" s="89"/>
      <c r="G13" s="146"/>
      <c r="H13" s="146"/>
      <c r="I13" s="145"/>
      <c r="K13" s="156" t="s">
        <v>33</v>
      </c>
    </row>
    <row r="14" spans="1:11" ht="15" x14ac:dyDescent="0.25">
      <c r="A14" s="116"/>
      <c r="B14" s="3" t="s">
        <v>28</v>
      </c>
      <c r="C14" s="89"/>
      <c r="D14" s="117"/>
      <c r="E14" s="100" t="s">
        <v>31</v>
      </c>
      <c r="F14" s="90">
        <v>5</v>
      </c>
      <c r="G14" s="146"/>
      <c r="H14" s="146"/>
      <c r="I14" s="145"/>
      <c r="K14" s="156" t="s">
        <v>34</v>
      </c>
    </row>
    <row r="15" spans="1:11" ht="15" x14ac:dyDescent="0.25">
      <c r="A15" s="116"/>
      <c r="B15" s="2" t="s">
        <v>29</v>
      </c>
      <c r="C15" s="91">
        <v>30</v>
      </c>
      <c r="D15" s="117"/>
      <c r="E15" s="100" t="s">
        <v>32</v>
      </c>
      <c r="F15" s="90">
        <v>2.5</v>
      </c>
      <c r="G15" s="146"/>
      <c r="H15" s="146"/>
      <c r="I15" s="145"/>
    </row>
    <row r="16" spans="1:11" ht="15" x14ac:dyDescent="0.25">
      <c r="A16" s="116"/>
      <c r="B16" s="2" t="s">
        <v>30</v>
      </c>
      <c r="C16" s="82"/>
      <c r="D16" s="117"/>
      <c r="E16" s="100" t="s">
        <v>33</v>
      </c>
      <c r="F16" s="90">
        <v>9</v>
      </c>
      <c r="G16" s="146"/>
      <c r="H16" s="146"/>
      <c r="I16" s="145"/>
    </row>
    <row r="17" spans="1:9" ht="15.75" thickBot="1" x14ac:dyDescent="0.3">
      <c r="A17" s="116"/>
      <c r="B17" s="92" t="s">
        <v>56</v>
      </c>
      <c r="C17" s="137">
        <v>50</v>
      </c>
      <c r="D17" s="117"/>
      <c r="E17" s="104" t="s">
        <v>34</v>
      </c>
      <c r="F17" s="105">
        <v>9</v>
      </c>
      <c r="G17" s="146"/>
      <c r="H17" s="146"/>
      <c r="I17" s="145"/>
    </row>
    <row r="18" spans="1:9" ht="14.25" x14ac:dyDescent="0.2">
      <c r="A18" s="116"/>
      <c r="B18" s="2" t="s">
        <v>57</v>
      </c>
      <c r="C18" s="150"/>
      <c r="D18" s="117"/>
      <c r="E18" s="117"/>
      <c r="F18" s="117"/>
      <c r="G18" s="117"/>
      <c r="H18" s="117"/>
      <c r="I18" s="145"/>
    </row>
    <row r="19" spans="1:9" ht="13.5" thickBot="1" x14ac:dyDescent="0.25">
      <c r="B19" s="215" t="s">
        <v>0</v>
      </c>
      <c r="C19" s="216"/>
      <c r="D19" s="117"/>
      <c r="E19" s="117"/>
      <c r="F19" s="117"/>
      <c r="G19" s="117"/>
      <c r="H19" s="117"/>
      <c r="I19" s="145"/>
    </row>
    <row r="20" spans="1:9" ht="13.5" thickBot="1" x14ac:dyDescent="0.25">
      <c r="A20" s="147"/>
      <c r="B20" s="148"/>
      <c r="C20" s="148"/>
      <c r="D20" s="148"/>
      <c r="E20" s="148"/>
      <c r="F20" s="148"/>
      <c r="G20" s="148"/>
      <c r="H20" s="148"/>
      <c r="I20" s="149"/>
    </row>
  </sheetData>
  <sheetProtection password="CE5A" sheet="1" objects="1" scenarios="1"/>
  <mergeCells count="5">
    <mergeCell ref="B19:C19"/>
    <mergeCell ref="B4:F4"/>
    <mergeCell ref="F7:H7"/>
    <mergeCell ref="B6:C6"/>
    <mergeCell ref="E7:E8"/>
  </mergeCells>
  <phoneticPr fontId="15" type="noConversion"/>
  <hyperlinks>
    <hyperlink ref="K7" location="'Wheat (Moist) Crop'!A1" display="Wheat (Moist)"/>
    <hyperlink ref="K8" location="'Wheat (Dry) Crop'!A1" display="Wheat (Dry)"/>
    <hyperlink ref="K9" location="'Wheat (Arid) Crop'!A1" display="Wheat (Arid)"/>
    <hyperlink ref="K10" location="'Barley (Moist) Crop'!A1" display="Barley (Moist)"/>
    <hyperlink ref="K11" location="'Barley (Dry) Crop'!A1" display="Barley (Dry)"/>
    <hyperlink ref="K12" location="'Barley (Arid) Crop'!A1" display="Barley (Arid)"/>
    <hyperlink ref="K13" location="'Canola Crop'!A1" display="Canola"/>
    <hyperlink ref="K14" location="'Canola (hybrid) Crop'!A1" display="Canola (hybrid)"/>
    <hyperlink ref="K2" location="Disclaimer!A1" display="Disclaimer"/>
  </hyperlinks>
  <pageMargins left="0.75" right="0.7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showGridLines="0" workbookViewId="0">
      <selection activeCell="E22" sqref="E22"/>
    </sheetView>
  </sheetViews>
  <sheetFormatPr defaultRowHeight="12.75" x14ac:dyDescent="0.2"/>
  <cols>
    <col min="1" max="1" width="1.5703125" style="10" customWidth="1"/>
    <col min="2" max="2" width="16.5703125" style="10" customWidth="1"/>
    <col min="3" max="6" width="9.140625" style="10"/>
    <col min="7" max="7" width="13.5703125" style="10" customWidth="1"/>
    <col min="8" max="14" width="9.140625" style="10"/>
    <col min="15" max="15" width="11.42578125" style="154" customWidth="1"/>
    <col min="16" max="16" width="10" style="10" customWidth="1"/>
    <col min="17" max="16384" width="9.140625" style="10"/>
  </cols>
  <sheetData>
    <row r="1" spans="1:19" ht="6" customHeight="1" thickBot="1" x14ac:dyDescent="0.25">
      <c r="B1" s="11"/>
      <c r="C1" s="11"/>
      <c r="D1" s="11"/>
      <c r="E1" s="11"/>
      <c r="F1" s="11"/>
      <c r="G1" s="11"/>
      <c r="H1" s="11"/>
      <c r="I1" s="11"/>
      <c r="J1" s="11"/>
    </row>
    <row r="2" spans="1:19" ht="20.25" x14ac:dyDescent="0.3">
      <c r="A2" s="11"/>
      <c r="B2" s="234" t="s">
        <v>40</v>
      </c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6"/>
    </row>
    <row r="3" spans="1:19" ht="20.25" x14ac:dyDescent="0.3">
      <c r="A3" s="11"/>
      <c r="B3" s="237" t="s">
        <v>65</v>
      </c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9"/>
    </row>
    <row r="4" spans="1:19" ht="6.75" customHeight="1" x14ac:dyDescent="0.3">
      <c r="A4" s="11"/>
      <c r="B4" s="13"/>
      <c r="C4" s="14"/>
      <c r="D4" s="14"/>
      <c r="E4" s="14"/>
      <c r="F4" s="14"/>
      <c r="G4" s="14"/>
      <c r="H4" s="14"/>
      <c r="I4" s="14"/>
      <c r="J4" s="14"/>
      <c r="K4" s="12"/>
      <c r="L4" s="12"/>
      <c r="M4" s="12"/>
      <c r="N4" s="15"/>
      <c r="O4" s="159"/>
      <c r="P4" s="158"/>
      <c r="Q4" s="158"/>
    </row>
    <row r="5" spans="1:19" x14ac:dyDescent="0.2">
      <c r="B5" s="198"/>
      <c r="C5" s="199"/>
      <c r="D5" s="199"/>
      <c r="E5" s="233" t="s">
        <v>110</v>
      </c>
      <c r="F5" s="233"/>
      <c r="G5" s="233"/>
      <c r="H5" s="233" t="s">
        <v>119</v>
      </c>
      <c r="I5" s="233"/>
      <c r="J5" s="233"/>
      <c r="K5" s="287"/>
      <c r="L5" s="245" t="s">
        <v>96</v>
      </c>
      <c r="M5" s="244"/>
      <c r="N5" s="246"/>
      <c r="P5" s="158"/>
      <c r="Q5" s="158"/>
    </row>
    <row r="6" spans="1:19" ht="4.5" customHeight="1" thickBot="1" x14ac:dyDescent="0.25">
      <c r="A6" s="16"/>
      <c r="B6" s="17"/>
      <c r="C6" s="18"/>
      <c r="D6" s="18"/>
      <c r="E6" s="18"/>
      <c r="F6" s="18"/>
      <c r="G6" s="18"/>
      <c r="H6" s="18"/>
      <c r="I6" s="18"/>
      <c r="J6" s="18"/>
      <c r="K6" s="12"/>
      <c r="L6" s="12"/>
      <c r="M6" s="12"/>
      <c r="N6" s="15"/>
      <c r="O6" s="155"/>
    </row>
    <row r="7" spans="1:19" ht="15.75" customHeight="1" thickBot="1" x14ac:dyDescent="0.3">
      <c r="A7" s="16"/>
      <c r="B7" s="240" t="s">
        <v>39</v>
      </c>
      <c r="C7" s="241"/>
      <c r="D7" s="18"/>
      <c r="E7" s="18"/>
      <c r="F7" s="18"/>
      <c r="G7" s="18"/>
      <c r="H7" s="18"/>
      <c r="I7" s="19"/>
      <c r="J7" s="18"/>
      <c r="K7" s="19"/>
      <c r="L7" s="12"/>
      <c r="M7" s="12"/>
      <c r="N7" s="15"/>
      <c r="O7" s="155"/>
    </row>
    <row r="8" spans="1:19" ht="15" customHeight="1" x14ac:dyDescent="0.25">
      <c r="A8" s="16"/>
      <c r="B8" s="87" t="s">
        <v>1</v>
      </c>
      <c r="C8" s="21" t="str">
        <f>'Data Entry'!C7</f>
        <v>UREA</v>
      </c>
      <c r="D8" s="18"/>
      <c r="E8" s="22"/>
      <c r="F8" s="23"/>
      <c r="G8" s="231" t="s">
        <v>100</v>
      </c>
      <c r="H8" s="23"/>
      <c r="I8" s="274" t="s">
        <v>14</v>
      </c>
      <c r="J8" s="275"/>
      <c r="K8" s="275"/>
      <c r="L8" s="275"/>
      <c r="M8" s="275"/>
      <c r="N8" s="24"/>
      <c r="O8" s="155"/>
    </row>
    <row r="9" spans="1:19" ht="15" x14ac:dyDescent="0.2">
      <c r="A9" s="16"/>
      <c r="B9" s="20" t="s">
        <v>3</v>
      </c>
      <c r="C9" s="59">
        <f>'Data Entry'!C8</f>
        <v>700</v>
      </c>
      <c r="D9" s="18"/>
      <c r="E9" s="17"/>
      <c r="F9" s="18"/>
      <c r="G9" s="232"/>
      <c r="H9" s="18"/>
      <c r="I9" s="19"/>
      <c r="J9" s="18"/>
      <c r="K9" s="19"/>
      <c r="L9" s="12"/>
      <c r="M9" s="12"/>
      <c r="N9" s="15"/>
      <c r="O9" s="155"/>
    </row>
    <row r="10" spans="1:19" ht="15" x14ac:dyDescent="0.25">
      <c r="A10" s="16"/>
      <c r="B10" s="20" t="s">
        <v>4</v>
      </c>
      <c r="C10" s="25">
        <f>'Data Entry'!C9</f>
        <v>46</v>
      </c>
      <c r="D10" s="18"/>
      <c r="E10" s="17"/>
      <c r="F10" s="18"/>
      <c r="G10" s="232"/>
      <c r="H10" s="26">
        <f>K10-C14*3</f>
        <v>7.5</v>
      </c>
      <c r="I10" s="26">
        <f>K10-C14*2</f>
        <v>8</v>
      </c>
      <c r="J10" s="26">
        <f>K10-C14</f>
        <v>8.5</v>
      </c>
      <c r="K10" s="27">
        <f>'Data Entry'!F17</f>
        <v>9</v>
      </c>
      <c r="L10" s="26">
        <f>K10+C14</f>
        <v>9.5</v>
      </c>
      <c r="M10" s="26">
        <f>K10+C14*2</f>
        <v>10</v>
      </c>
      <c r="N10" s="28">
        <f>K10+C14*3</f>
        <v>10.5</v>
      </c>
      <c r="O10" s="155"/>
    </row>
    <row r="11" spans="1:19" ht="15" x14ac:dyDescent="0.25">
      <c r="A11" s="16"/>
      <c r="B11" s="20" t="s">
        <v>5</v>
      </c>
      <c r="C11" s="61">
        <f>(C9/((C10/100)*2200))</f>
        <v>0.69169960474308301</v>
      </c>
      <c r="D11" s="18"/>
      <c r="E11" s="17"/>
      <c r="F11" s="18"/>
      <c r="G11" s="29" t="s">
        <v>6</v>
      </c>
      <c r="H11" s="18"/>
      <c r="I11" s="18"/>
      <c r="J11" s="18"/>
      <c r="K11" s="12"/>
      <c r="L11" s="12"/>
      <c r="M11" s="12"/>
      <c r="N11" s="15"/>
      <c r="O11" s="153"/>
      <c r="P11"/>
      <c r="Q11"/>
      <c r="R11"/>
      <c r="S11"/>
    </row>
    <row r="12" spans="1:19" ht="15" x14ac:dyDescent="0.25">
      <c r="A12" s="16"/>
      <c r="B12" s="30" t="s">
        <v>20</v>
      </c>
      <c r="C12" s="31">
        <f>'Data Entry'!C11</f>
        <v>10</v>
      </c>
      <c r="D12" s="18"/>
      <c r="E12" s="32"/>
      <c r="F12" s="29" t="s">
        <v>67</v>
      </c>
      <c r="G12" s="29" t="s">
        <v>7</v>
      </c>
      <c r="H12" s="269" t="s">
        <v>8</v>
      </c>
      <c r="I12" s="269"/>
      <c r="J12" s="269"/>
      <c r="K12" s="269"/>
      <c r="L12" s="269"/>
      <c r="M12" s="269"/>
      <c r="N12" s="270"/>
      <c r="O12" s="153"/>
      <c r="P12"/>
      <c r="Q12"/>
      <c r="R12"/>
      <c r="S12"/>
    </row>
    <row r="13" spans="1:19" ht="15.75" thickBot="1" x14ac:dyDescent="0.3">
      <c r="A13" s="16"/>
      <c r="B13" s="33" t="s">
        <v>106</v>
      </c>
      <c r="C13" s="34"/>
      <c r="D13" s="18"/>
      <c r="E13" s="35" t="s">
        <v>9</v>
      </c>
      <c r="F13" s="36" t="s">
        <v>68</v>
      </c>
      <c r="G13" s="36" t="s">
        <v>10</v>
      </c>
      <c r="H13" s="247" t="s">
        <v>15</v>
      </c>
      <c r="I13" s="247"/>
      <c r="J13" s="247"/>
      <c r="K13" s="247"/>
      <c r="L13" s="247"/>
      <c r="M13" s="247"/>
      <c r="N13" s="248"/>
      <c r="O13" s="153"/>
      <c r="P13"/>
      <c r="Q13"/>
      <c r="R13"/>
      <c r="S13"/>
    </row>
    <row r="14" spans="1:19" ht="15" x14ac:dyDescent="0.25">
      <c r="A14" s="16"/>
      <c r="B14" s="37" t="s">
        <v>108</v>
      </c>
      <c r="C14" s="38">
        <f>'Data Entry'!C13</f>
        <v>0.5</v>
      </c>
      <c r="D14" s="18"/>
      <c r="E14" s="39" t="s">
        <v>11</v>
      </c>
      <c r="F14" s="40" t="s">
        <v>12</v>
      </c>
      <c r="G14" s="40" t="s">
        <v>12</v>
      </c>
      <c r="H14" s="41">
        <f>H10/$C$11</f>
        <v>10.842857142857143</v>
      </c>
      <c r="I14" s="41">
        <f t="shared" ref="I14:N14" si="0">I10/$C$11</f>
        <v>11.565714285714286</v>
      </c>
      <c r="J14" s="41">
        <f t="shared" si="0"/>
        <v>12.288571428571428</v>
      </c>
      <c r="K14" s="41">
        <f t="shared" si="0"/>
        <v>13.011428571428571</v>
      </c>
      <c r="L14" s="41">
        <f t="shared" si="0"/>
        <v>13.734285714285715</v>
      </c>
      <c r="M14" s="41">
        <f t="shared" si="0"/>
        <v>14.457142857142857</v>
      </c>
      <c r="N14" s="42">
        <f t="shared" si="0"/>
        <v>15.18</v>
      </c>
      <c r="O14" s="153"/>
      <c r="P14"/>
      <c r="Q14"/>
      <c r="R14"/>
      <c r="S14"/>
    </row>
    <row r="15" spans="1:19" ht="15" x14ac:dyDescent="0.25">
      <c r="A15" s="16"/>
      <c r="B15" s="43" t="s">
        <v>28</v>
      </c>
      <c r="C15" s="34"/>
      <c r="D15" s="18"/>
      <c r="E15" s="44">
        <f>IF((E19-4*$C$12)&lt;0,0,(E19-4*$C$12))</f>
        <v>60</v>
      </c>
      <c r="F15" s="126">
        <f>G15+(-0.0005*($C$16)^2+0.2317*($C$16))+25.899</f>
        <v>42.701999999999998</v>
      </c>
      <c r="G15" s="126">
        <f>IF(((-0.0005*(E15+$C$16)^2+0.2317*(E15+$C$16))-(-0.0005*($C$16)^2+0.2317*($C$16)))&lt;0,0,(-0.0005*(E15+$C$16)^2+0.2317*(E15+$C$16))-(-0.0005*($C$16)^2+0.2317*($C$16)))</f>
        <v>10.301999999999998</v>
      </c>
      <c r="H15" s="135">
        <f t="shared" ref="H15:N23" si="1">(H$10*$G15)-($C$11*($E15))</f>
        <v>35.763023715415002</v>
      </c>
      <c r="I15" s="135">
        <f t="shared" si="1"/>
        <v>40.914023715414999</v>
      </c>
      <c r="J15" s="135">
        <f t="shared" si="1"/>
        <v>46.065023715414995</v>
      </c>
      <c r="K15" s="135">
        <f t="shared" si="1"/>
        <v>51.216023715414991</v>
      </c>
      <c r="L15" s="135">
        <f t="shared" si="1"/>
        <v>56.367023715415002</v>
      </c>
      <c r="M15" s="135">
        <f t="shared" si="1"/>
        <v>61.518023715414998</v>
      </c>
      <c r="N15" s="136">
        <f t="shared" si="1"/>
        <v>66.669023715414994</v>
      </c>
      <c r="O15" s="153"/>
      <c r="P15"/>
      <c r="Q15"/>
      <c r="R15"/>
      <c r="S15"/>
    </row>
    <row r="16" spans="1:19" ht="15" x14ac:dyDescent="0.25">
      <c r="A16" s="16"/>
      <c r="B16" s="37" t="s">
        <v>29</v>
      </c>
      <c r="C16" s="45">
        <f>'Data Entry'!C15</f>
        <v>30</v>
      </c>
      <c r="D16" s="18"/>
      <c r="E16" s="44">
        <f>IF((E20-4*$C$12)&lt;0,0,(E20-4*$C$12))</f>
        <v>70</v>
      </c>
      <c r="F16" s="126">
        <f t="shared" ref="F16:F23" si="2">G16+(-0.0005*($C$16)^2+0.2317*($C$16))+25.899</f>
        <v>44.069000000000003</v>
      </c>
      <c r="G16" s="126">
        <f t="shared" ref="G16:G23" si="3">IF(((-0.0005*(E16+$C$16)^2+0.2317*(E16+$C$16))-(-0.0005*($C$16)^2+0.2317*($C$16)))&lt;0,0,(-0.0005*(E16+$C$16)^2+0.2317*(E16+$C$16))-(-0.0005*($C$16)^2+0.2317*($C$16)))</f>
        <v>11.668999999999999</v>
      </c>
      <c r="H16" s="135">
        <f t="shared" si="1"/>
        <v>39.098527667984172</v>
      </c>
      <c r="I16" s="135">
        <f t="shared" si="1"/>
        <v>44.933027667984177</v>
      </c>
      <c r="J16" s="135">
        <f t="shared" si="1"/>
        <v>50.767527667984183</v>
      </c>
      <c r="K16" s="135">
        <f t="shared" si="1"/>
        <v>56.602027667984174</v>
      </c>
      <c r="L16" s="135">
        <f t="shared" si="1"/>
        <v>62.43652766798418</v>
      </c>
      <c r="M16" s="135">
        <f t="shared" si="1"/>
        <v>68.271027667984171</v>
      </c>
      <c r="N16" s="136">
        <f t="shared" si="1"/>
        <v>74.105527667984177</v>
      </c>
      <c r="O16" s="153"/>
      <c r="P16"/>
      <c r="Q16"/>
      <c r="R16"/>
      <c r="S16"/>
    </row>
    <row r="17" spans="1:19" ht="15" x14ac:dyDescent="0.25">
      <c r="A17" s="16"/>
      <c r="B17" s="43" t="s">
        <v>30</v>
      </c>
      <c r="C17" s="46"/>
      <c r="D17" s="18"/>
      <c r="E17" s="44">
        <f>IF((E21-4*$C$12)&lt;0,0,(E21-4*$C$12))</f>
        <v>80</v>
      </c>
      <c r="F17" s="126">
        <f t="shared" si="2"/>
        <v>45.335999999999999</v>
      </c>
      <c r="G17" s="126">
        <f t="shared" si="3"/>
        <v>12.935999999999998</v>
      </c>
      <c r="H17" s="135">
        <f t="shared" si="1"/>
        <v>41.684031620553341</v>
      </c>
      <c r="I17" s="135">
        <f t="shared" si="1"/>
        <v>48.152031620553345</v>
      </c>
      <c r="J17" s="135">
        <f t="shared" si="1"/>
        <v>54.620031620553348</v>
      </c>
      <c r="K17" s="135">
        <f t="shared" si="1"/>
        <v>61.088031620553338</v>
      </c>
      <c r="L17" s="135">
        <f t="shared" si="1"/>
        <v>67.556031620553341</v>
      </c>
      <c r="M17" s="135">
        <f t="shared" si="1"/>
        <v>74.024031620553345</v>
      </c>
      <c r="N17" s="136">
        <f t="shared" si="1"/>
        <v>80.492031620553334</v>
      </c>
      <c r="O17" s="153"/>
      <c r="P17"/>
      <c r="Q17"/>
      <c r="R17"/>
      <c r="S17"/>
    </row>
    <row r="18" spans="1:19" ht="15.75" thickBot="1" x14ac:dyDescent="0.3">
      <c r="A18" s="16"/>
      <c r="B18" s="17"/>
      <c r="C18" s="18"/>
      <c r="D18" s="18"/>
      <c r="E18" s="44">
        <f>IF((E22-4*$C$12)&lt;0,0,(E22-4*$C$12))</f>
        <v>90</v>
      </c>
      <c r="F18" s="126">
        <f t="shared" si="2"/>
        <v>46.503</v>
      </c>
      <c r="G18" s="126">
        <f t="shared" si="3"/>
        <v>14.103</v>
      </c>
      <c r="H18" s="135">
        <f t="shared" si="1"/>
        <v>43.519535573122525</v>
      </c>
      <c r="I18" s="135">
        <f t="shared" si="1"/>
        <v>50.571035573122529</v>
      </c>
      <c r="J18" s="135">
        <f t="shared" si="1"/>
        <v>57.622535573122533</v>
      </c>
      <c r="K18" s="135">
        <f t="shared" si="1"/>
        <v>64.674035573122524</v>
      </c>
      <c r="L18" s="135">
        <f t="shared" si="1"/>
        <v>71.725535573122528</v>
      </c>
      <c r="M18" s="135">
        <f t="shared" si="1"/>
        <v>78.777035573122532</v>
      </c>
      <c r="N18" s="136">
        <f t="shared" si="1"/>
        <v>85.828535573122537</v>
      </c>
      <c r="O18" s="153"/>
      <c r="P18"/>
      <c r="Q18"/>
      <c r="R18"/>
      <c r="S18"/>
    </row>
    <row r="19" spans="1:19" ht="15.75" thickBot="1" x14ac:dyDescent="0.3">
      <c r="A19" s="16"/>
      <c r="B19" s="54"/>
      <c r="C19" s="48"/>
      <c r="D19" s="49" t="s">
        <v>13</v>
      </c>
      <c r="E19" s="50">
        <f>'Data Entry'!F12</f>
        <v>100</v>
      </c>
      <c r="F19" s="126">
        <f t="shared" si="2"/>
        <v>47.57</v>
      </c>
      <c r="G19" s="126">
        <f t="shared" si="3"/>
        <v>15.17</v>
      </c>
      <c r="H19" s="135">
        <f t="shared" si="1"/>
        <v>44.605039525691708</v>
      </c>
      <c r="I19" s="135">
        <f t="shared" si="1"/>
        <v>52.190039525691702</v>
      </c>
      <c r="J19" s="135">
        <f t="shared" si="1"/>
        <v>59.775039525691696</v>
      </c>
      <c r="K19" s="135">
        <f t="shared" si="1"/>
        <v>67.360039525691704</v>
      </c>
      <c r="L19" s="135">
        <f t="shared" si="1"/>
        <v>74.945039525691712</v>
      </c>
      <c r="M19" s="135">
        <f t="shared" si="1"/>
        <v>82.530039525691691</v>
      </c>
      <c r="N19" s="136">
        <f t="shared" si="1"/>
        <v>90.115039525691699</v>
      </c>
      <c r="O19" s="153"/>
      <c r="P19"/>
      <c r="Q19"/>
      <c r="R19"/>
      <c r="S19"/>
    </row>
    <row r="20" spans="1:19" ht="15" x14ac:dyDescent="0.25">
      <c r="A20" s="16"/>
      <c r="B20" s="17"/>
      <c r="C20" s="18"/>
      <c r="D20" s="18"/>
      <c r="E20" s="51">
        <f>E19+C12</f>
        <v>110</v>
      </c>
      <c r="F20" s="126">
        <f t="shared" si="2"/>
        <v>48.536999999999992</v>
      </c>
      <c r="G20" s="126">
        <f t="shared" si="3"/>
        <v>16.136999999999993</v>
      </c>
      <c r="H20" s="135">
        <f t="shared" si="1"/>
        <v>44.940543478260821</v>
      </c>
      <c r="I20" s="135">
        <f t="shared" si="1"/>
        <v>53.009043478260821</v>
      </c>
      <c r="J20" s="135">
        <f t="shared" si="1"/>
        <v>61.077543478260822</v>
      </c>
      <c r="K20" s="135">
        <f t="shared" si="1"/>
        <v>69.146043478260822</v>
      </c>
      <c r="L20" s="135">
        <f t="shared" si="1"/>
        <v>77.214543478260822</v>
      </c>
      <c r="M20" s="135">
        <f t="shared" si="1"/>
        <v>85.283043478260822</v>
      </c>
      <c r="N20" s="136">
        <f t="shared" si="1"/>
        <v>93.351543478260794</v>
      </c>
      <c r="O20" s="153"/>
      <c r="P20"/>
      <c r="Q20"/>
      <c r="R20"/>
      <c r="S20"/>
    </row>
    <row r="21" spans="1:19" ht="15" x14ac:dyDescent="0.25">
      <c r="A21" s="16"/>
      <c r="B21" s="17"/>
      <c r="C21" s="18"/>
      <c r="D21" s="18"/>
      <c r="E21" s="51">
        <f>E19+2*C12</f>
        <v>120</v>
      </c>
      <c r="F21" s="126">
        <f t="shared" si="2"/>
        <v>49.403999999999996</v>
      </c>
      <c r="G21" s="126">
        <f t="shared" si="3"/>
        <v>17.003999999999998</v>
      </c>
      <c r="H21" s="135">
        <f t="shared" si="1"/>
        <v>44.526047430830019</v>
      </c>
      <c r="I21" s="135">
        <f t="shared" si="1"/>
        <v>53.028047430830014</v>
      </c>
      <c r="J21" s="135">
        <f t="shared" si="1"/>
        <v>61.530047430830024</v>
      </c>
      <c r="K21" s="135">
        <f t="shared" si="1"/>
        <v>70.032047430830005</v>
      </c>
      <c r="L21" s="135">
        <f t="shared" si="1"/>
        <v>78.534047430830014</v>
      </c>
      <c r="M21" s="135">
        <f t="shared" si="1"/>
        <v>87.036047430829996</v>
      </c>
      <c r="N21" s="136">
        <f t="shared" si="1"/>
        <v>95.538047430830005</v>
      </c>
      <c r="O21" s="153"/>
      <c r="P21"/>
      <c r="Q21"/>
      <c r="R21"/>
      <c r="S21"/>
    </row>
    <row r="22" spans="1:19" ht="15" x14ac:dyDescent="0.25">
      <c r="A22" s="16"/>
      <c r="B22" s="17"/>
      <c r="C22" s="18"/>
      <c r="D22" s="18"/>
      <c r="E22" s="51">
        <f>E19+3*C12</f>
        <v>130</v>
      </c>
      <c r="F22" s="126">
        <f t="shared" si="2"/>
        <v>50.170999999999992</v>
      </c>
      <c r="G22" s="126">
        <f t="shared" si="3"/>
        <v>17.770999999999994</v>
      </c>
      <c r="H22" s="135">
        <f t="shared" si="1"/>
        <v>43.361551383399146</v>
      </c>
      <c r="I22" s="135">
        <f t="shared" si="1"/>
        <v>52.247051383399153</v>
      </c>
      <c r="J22" s="135">
        <f t="shared" si="1"/>
        <v>61.132551383399161</v>
      </c>
      <c r="K22" s="135">
        <f t="shared" si="1"/>
        <v>70.01805138339914</v>
      </c>
      <c r="L22" s="135">
        <f t="shared" si="1"/>
        <v>78.903551383399147</v>
      </c>
      <c r="M22" s="135">
        <f t="shared" si="1"/>
        <v>87.789051383399126</v>
      </c>
      <c r="N22" s="136">
        <f t="shared" si="1"/>
        <v>96.674551383399134</v>
      </c>
      <c r="O22" s="153"/>
      <c r="P22"/>
      <c r="Q22"/>
      <c r="R22"/>
      <c r="S22"/>
    </row>
    <row r="23" spans="1:19" ht="15" x14ac:dyDescent="0.25">
      <c r="A23" s="16"/>
      <c r="B23" s="17"/>
      <c r="C23" s="18"/>
      <c r="D23" s="18"/>
      <c r="E23" s="51">
        <f>E19+4*C12</f>
        <v>140</v>
      </c>
      <c r="F23" s="126">
        <f t="shared" si="2"/>
        <v>50.837999999999994</v>
      </c>
      <c r="G23" s="126">
        <f t="shared" si="3"/>
        <v>18.437999999999995</v>
      </c>
      <c r="H23" s="135">
        <f t="shared" si="1"/>
        <v>41.447055335968344</v>
      </c>
      <c r="I23" s="135">
        <f t="shared" si="1"/>
        <v>50.666055335968338</v>
      </c>
      <c r="J23" s="135">
        <f t="shared" si="1"/>
        <v>59.885055335968332</v>
      </c>
      <c r="K23" s="135">
        <f t="shared" si="1"/>
        <v>69.104055335968326</v>
      </c>
      <c r="L23" s="135">
        <f t="shared" si="1"/>
        <v>78.32305533596832</v>
      </c>
      <c r="M23" s="135">
        <f t="shared" si="1"/>
        <v>87.542055335968314</v>
      </c>
      <c r="N23" s="136">
        <f t="shared" si="1"/>
        <v>96.761055335968337</v>
      </c>
      <c r="O23" s="153"/>
      <c r="P23"/>
      <c r="Q23"/>
      <c r="R23"/>
      <c r="S23"/>
    </row>
    <row r="24" spans="1:19" ht="11.25" customHeight="1" x14ac:dyDescent="0.2">
      <c r="A24" s="16"/>
      <c r="B24" s="17"/>
      <c r="C24" s="18"/>
      <c r="D24" s="18"/>
      <c r="E24" s="271" t="s">
        <v>66</v>
      </c>
      <c r="F24" s="272"/>
      <c r="G24" s="272"/>
      <c r="H24" s="272"/>
      <c r="I24" s="272"/>
      <c r="J24" s="272"/>
      <c r="K24" s="272"/>
      <c r="L24" s="272"/>
      <c r="M24" s="272"/>
      <c r="N24" s="273"/>
      <c r="O24" s="153"/>
      <c r="P24"/>
      <c r="Q24"/>
      <c r="R24"/>
      <c r="S24"/>
    </row>
    <row r="25" spans="1:19" ht="11.25" customHeight="1" x14ac:dyDescent="0.2">
      <c r="A25" s="16"/>
      <c r="B25" s="17"/>
      <c r="C25" s="18"/>
      <c r="D25" s="18"/>
      <c r="E25" s="266" t="s">
        <v>16</v>
      </c>
      <c r="F25" s="267"/>
      <c r="G25" s="267"/>
      <c r="H25" s="267"/>
      <c r="I25" s="267"/>
      <c r="J25" s="267"/>
      <c r="K25" s="267"/>
      <c r="L25" s="267"/>
      <c r="M25" s="267"/>
      <c r="N25" s="268"/>
      <c r="O25" s="153"/>
      <c r="P25"/>
      <c r="Q25"/>
      <c r="R25"/>
      <c r="S25"/>
    </row>
    <row r="26" spans="1:19" ht="11.25" customHeight="1" x14ac:dyDescent="0.2">
      <c r="A26" s="16"/>
      <c r="B26" s="17"/>
      <c r="C26" s="18"/>
      <c r="D26" s="18"/>
      <c r="E26" s="266" t="s">
        <v>25</v>
      </c>
      <c r="F26" s="267"/>
      <c r="G26" s="267"/>
      <c r="H26" s="267"/>
      <c r="I26" s="267"/>
      <c r="J26" s="267"/>
      <c r="K26" s="267"/>
      <c r="L26" s="267"/>
      <c r="M26" s="267"/>
      <c r="N26" s="268"/>
      <c r="O26" s="153"/>
      <c r="P26"/>
      <c r="Q26"/>
      <c r="R26"/>
      <c r="S26"/>
    </row>
    <row r="27" spans="1:19" ht="11.25" customHeight="1" x14ac:dyDescent="0.2">
      <c r="A27" s="16"/>
      <c r="B27" s="17"/>
      <c r="C27" s="18"/>
      <c r="D27" s="18"/>
      <c r="E27" s="262" t="s">
        <v>88</v>
      </c>
      <c r="F27" s="263"/>
      <c r="G27" s="263"/>
      <c r="H27" s="263"/>
      <c r="I27" s="263"/>
      <c r="J27" s="263"/>
      <c r="K27" s="264"/>
      <c r="L27" s="264"/>
      <c r="M27" s="264"/>
      <c r="N27" s="265"/>
      <c r="O27" s="153"/>
      <c r="P27"/>
      <c r="Q27"/>
      <c r="R27"/>
      <c r="S27"/>
    </row>
    <row r="28" spans="1:19" ht="11.25" customHeight="1" thickBot="1" x14ac:dyDescent="0.25">
      <c r="A28" s="16"/>
      <c r="B28" s="17"/>
      <c r="C28" s="18"/>
      <c r="D28" s="18"/>
      <c r="E28" s="277" t="s">
        <v>38</v>
      </c>
      <c r="F28" s="278"/>
      <c r="G28" s="279"/>
      <c r="H28" s="279"/>
      <c r="I28" s="279"/>
      <c r="J28" s="279"/>
      <c r="K28" s="280"/>
      <c r="L28" s="280"/>
      <c r="M28" s="280"/>
      <c r="N28" s="281"/>
      <c r="O28" s="153"/>
      <c r="P28"/>
      <c r="Q28"/>
      <c r="R28"/>
      <c r="S28"/>
    </row>
    <row r="29" spans="1:19" ht="11.25" customHeight="1" x14ac:dyDescent="0.2">
      <c r="B29" s="17"/>
      <c r="E29" s="267"/>
      <c r="F29" s="267"/>
      <c r="G29" s="267"/>
      <c r="H29" s="267"/>
      <c r="I29" s="267"/>
      <c r="J29" s="267"/>
      <c r="K29" s="267"/>
      <c r="L29" s="267"/>
      <c r="M29" s="267"/>
      <c r="N29" s="268"/>
      <c r="O29" s="153"/>
      <c r="P29"/>
      <c r="Q29"/>
      <c r="R29"/>
      <c r="S29"/>
    </row>
    <row r="30" spans="1:19" ht="10.5" customHeight="1" thickBot="1" x14ac:dyDescent="0.25">
      <c r="B30" s="252"/>
      <c r="C30" s="253"/>
      <c r="D30" s="253"/>
      <c r="E30" s="253"/>
      <c r="F30" s="253"/>
      <c r="G30" s="253"/>
      <c r="H30" s="253"/>
      <c r="I30" s="253"/>
      <c r="J30" s="253"/>
      <c r="K30" s="55"/>
      <c r="L30" s="55"/>
      <c r="M30" s="55"/>
      <c r="N30" s="56"/>
      <c r="O30" s="153"/>
      <c r="P30"/>
      <c r="Q30"/>
      <c r="R30"/>
      <c r="S30"/>
    </row>
    <row r="31" spans="1:19" ht="4.5" customHeight="1" thickBot="1" x14ac:dyDescent="0.25">
      <c r="B31" s="189"/>
      <c r="N31" s="24"/>
      <c r="O31" s="153"/>
      <c r="P31"/>
      <c r="Q31"/>
      <c r="R31"/>
      <c r="S31"/>
    </row>
    <row r="32" spans="1:19" ht="15.75" customHeight="1" thickBot="1" x14ac:dyDescent="0.3">
      <c r="A32" s="16"/>
      <c r="B32" s="240" t="s">
        <v>39</v>
      </c>
      <c r="C32" s="241"/>
      <c r="E32" s="18"/>
      <c r="F32" s="18"/>
      <c r="G32" s="18"/>
      <c r="H32" s="18"/>
      <c r="I32" s="19"/>
      <c r="J32" s="18"/>
      <c r="K32" s="19"/>
      <c r="L32" s="12"/>
      <c r="M32" s="12"/>
      <c r="N32" s="15"/>
      <c r="O32" s="155"/>
    </row>
    <row r="33" spans="1:19" ht="15" customHeight="1" x14ac:dyDescent="0.25">
      <c r="A33" s="16"/>
      <c r="B33" s="87" t="s">
        <v>1</v>
      </c>
      <c r="C33" s="21" t="str">
        <f>'Data Entry'!C7</f>
        <v>UREA</v>
      </c>
      <c r="D33" s="18"/>
      <c r="F33" s="22"/>
      <c r="G33" s="231" t="s">
        <v>102</v>
      </c>
      <c r="H33" s="23"/>
      <c r="I33" s="274" t="s">
        <v>14</v>
      </c>
      <c r="J33" s="275"/>
      <c r="K33" s="275"/>
      <c r="L33" s="275"/>
      <c r="M33" s="275"/>
      <c r="N33" s="24"/>
      <c r="O33" s="155"/>
    </row>
    <row r="34" spans="1:19" ht="15" x14ac:dyDescent="0.2">
      <c r="A34" s="16"/>
      <c r="B34" s="20" t="s">
        <v>3</v>
      </c>
      <c r="C34" s="179">
        <f>'Data Entry'!C8</f>
        <v>700</v>
      </c>
      <c r="D34" s="18"/>
      <c r="F34" s="17"/>
      <c r="G34" s="232"/>
      <c r="H34" s="18"/>
      <c r="I34" s="19"/>
      <c r="J34" s="18"/>
      <c r="K34" s="19"/>
      <c r="L34" s="12"/>
      <c r="M34" s="12"/>
      <c r="N34" s="15"/>
      <c r="O34" s="155"/>
    </row>
    <row r="35" spans="1:19" ht="15" x14ac:dyDescent="0.25">
      <c r="A35" s="16"/>
      <c r="B35" s="20" t="s">
        <v>4</v>
      </c>
      <c r="C35" s="25">
        <f>'Data Entry'!C9</f>
        <v>46</v>
      </c>
      <c r="D35" s="18"/>
      <c r="F35" s="17"/>
      <c r="G35" s="232"/>
      <c r="H35" s="26">
        <f>K35-C39*3</f>
        <v>7.5</v>
      </c>
      <c r="I35" s="26">
        <f>K35-C39*2</f>
        <v>8</v>
      </c>
      <c r="J35" s="26">
        <f>K35-C39</f>
        <v>8.5</v>
      </c>
      <c r="K35" s="27">
        <f>'Data Entry'!F16</f>
        <v>9</v>
      </c>
      <c r="L35" s="26">
        <f>K35+C39</f>
        <v>9.5</v>
      </c>
      <c r="M35" s="26">
        <f>K35+C39*2</f>
        <v>10</v>
      </c>
      <c r="N35" s="28">
        <f>K35+C39*3</f>
        <v>10.5</v>
      </c>
      <c r="O35" s="155"/>
    </row>
    <row r="36" spans="1:19" ht="15" x14ac:dyDescent="0.25">
      <c r="A36" s="16"/>
      <c r="B36" s="20" t="s">
        <v>5</v>
      </c>
      <c r="C36" s="61">
        <f>(C34/((C35/100)*2200))</f>
        <v>0.69169960474308301</v>
      </c>
      <c r="D36" s="18"/>
      <c r="F36" s="17"/>
      <c r="G36" s="29" t="s">
        <v>6</v>
      </c>
      <c r="H36" s="18"/>
      <c r="I36" s="18"/>
      <c r="J36" s="18"/>
      <c r="K36" s="12"/>
      <c r="L36" s="12"/>
      <c r="M36" s="12"/>
      <c r="N36" s="15"/>
      <c r="O36" s="155"/>
    </row>
    <row r="37" spans="1:19" ht="15" x14ac:dyDescent="0.25">
      <c r="A37" s="16"/>
      <c r="B37" s="30" t="s">
        <v>20</v>
      </c>
      <c r="C37" s="31">
        <f>'Data Entry'!C11</f>
        <v>10</v>
      </c>
      <c r="D37" s="18"/>
      <c r="F37" s="32"/>
      <c r="G37" s="70" t="s">
        <v>67</v>
      </c>
      <c r="H37" s="229" t="s">
        <v>112</v>
      </c>
      <c r="I37" s="229"/>
      <c r="J37" s="229"/>
      <c r="K37" s="229"/>
      <c r="L37" s="229"/>
      <c r="M37" s="229"/>
      <c r="N37" s="230"/>
      <c r="O37" s="153"/>
      <c r="P37"/>
      <c r="Q37"/>
      <c r="R37"/>
      <c r="S37"/>
    </row>
    <row r="38" spans="1:19" ht="15.75" thickBot="1" x14ac:dyDescent="0.3">
      <c r="A38" s="16"/>
      <c r="B38" s="33" t="s">
        <v>21</v>
      </c>
      <c r="C38" s="34"/>
      <c r="D38" s="18"/>
      <c r="F38" s="35" t="s">
        <v>9</v>
      </c>
      <c r="G38" s="73" t="s">
        <v>68</v>
      </c>
      <c r="H38" s="247" t="s">
        <v>15</v>
      </c>
      <c r="I38" s="247"/>
      <c r="J38" s="247"/>
      <c r="K38" s="247"/>
      <c r="L38" s="247"/>
      <c r="M38" s="247"/>
      <c r="N38" s="248"/>
      <c r="O38" s="153"/>
      <c r="P38"/>
      <c r="Q38"/>
      <c r="R38"/>
      <c r="S38"/>
    </row>
    <row r="39" spans="1:19" ht="15" x14ac:dyDescent="0.25">
      <c r="A39" s="16"/>
      <c r="B39" s="37" t="s">
        <v>108</v>
      </c>
      <c r="C39" s="57">
        <f>'Data Entry'!C13</f>
        <v>0.5</v>
      </c>
      <c r="D39" s="18"/>
      <c r="F39" s="39" t="s">
        <v>11</v>
      </c>
      <c r="G39" s="75" t="s">
        <v>12</v>
      </c>
      <c r="H39" s="41">
        <f t="shared" ref="H39:N39" si="4">H35/$C$11</f>
        <v>10.842857142857143</v>
      </c>
      <c r="I39" s="41">
        <f t="shared" si="4"/>
        <v>11.565714285714286</v>
      </c>
      <c r="J39" s="41">
        <f t="shared" si="4"/>
        <v>12.288571428571428</v>
      </c>
      <c r="K39" s="41">
        <f t="shared" si="4"/>
        <v>13.011428571428571</v>
      </c>
      <c r="L39" s="41">
        <f t="shared" si="4"/>
        <v>13.734285714285715</v>
      </c>
      <c r="M39" s="41">
        <f t="shared" si="4"/>
        <v>14.457142857142857</v>
      </c>
      <c r="N39" s="42">
        <f t="shared" si="4"/>
        <v>15.18</v>
      </c>
      <c r="O39" s="153"/>
      <c r="P39"/>
      <c r="Q39"/>
      <c r="R39"/>
      <c r="S39"/>
    </row>
    <row r="40" spans="1:19" ht="15" x14ac:dyDescent="0.25">
      <c r="A40" s="16"/>
      <c r="B40" s="43" t="s">
        <v>28</v>
      </c>
      <c r="C40" s="34"/>
      <c r="D40" s="18"/>
      <c r="F40" s="44">
        <f>IF((F44-4*$C$12)&lt;0,0,(F44-4*$C$12))</f>
        <v>60</v>
      </c>
      <c r="G40" s="126">
        <f>G15+(-0.0005*($C$16)^2+0.2317*($C$16))+25.899</f>
        <v>42.701999999999998</v>
      </c>
      <c r="H40" s="135">
        <f t="shared" ref="H40:N48" si="5">(H$10*$G40)-($C$11*($F40))</f>
        <v>278.76302371541499</v>
      </c>
      <c r="I40" s="135">
        <f t="shared" si="5"/>
        <v>300.11402371541499</v>
      </c>
      <c r="J40" s="135">
        <f t="shared" si="5"/>
        <v>321.46502371541499</v>
      </c>
      <c r="K40" s="135">
        <f t="shared" si="5"/>
        <v>342.81602371541499</v>
      </c>
      <c r="L40" s="135">
        <f t="shared" si="5"/>
        <v>364.16702371541498</v>
      </c>
      <c r="M40" s="135">
        <f t="shared" si="5"/>
        <v>385.51802371541498</v>
      </c>
      <c r="N40" s="136">
        <f t="shared" si="5"/>
        <v>406.86902371541498</v>
      </c>
      <c r="O40" s="153"/>
      <c r="P40"/>
      <c r="Q40"/>
      <c r="R40"/>
      <c r="S40"/>
    </row>
    <row r="41" spans="1:19" ht="15" x14ac:dyDescent="0.25">
      <c r="A41" s="16"/>
      <c r="B41" s="37" t="s">
        <v>29</v>
      </c>
      <c r="C41" s="45">
        <f>'Data Entry'!C15</f>
        <v>30</v>
      </c>
      <c r="D41" s="18"/>
      <c r="F41" s="44">
        <f>IF((F45-4*$C$12)&lt;0,0,(F45-4*$C$12))</f>
        <v>70</v>
      </c>
      <c r="G41" s="126">
        <f t="shared" ref="G41:G48" si="6">G16+(-0.0005*($C$16)^2+0.2317*($C$16))+25.899</f>
        <v>44.069000000000003</v>
      </c>
      <c r="H41" s="135">
        <f t="shared" si="5"/>
        <v>282.09852766798423</v>
      </c>
      <c r="I41" s="135">
        <f t="shared" si="5"/>
        <v>304.13302766798421</v>
      </c>
      <c r="J41" s="135">
        <f t="shared" si="5"/>
        <v>326.16752766798419</v>
      </c>
      <c r="K41" s="135">
        <f t="shared" si="5"/>
        <v>348.20202766798423</v>
      </c>
      <c r="L41" s="135">
        <f t="shared" si="5"/>
        <v>370.23652766798421</v>
      </c>
      <c r="M41" s="135">
        <f t="shared" si="5"/>
        <v>392.27102766798424</v>
      </c>
      <c r="N41" s="136">
        <f t="shared" si="5"/>
        <v>414.30552766798422</v>
      </c>
      <c r="O41" s="153"/>
      <c r="P41"/>
      <c r="Q41"/>
      <c r="R41"/>
      <c r="S41"/>
    </row>
    <row r="42" spans="1:19" ht="15" x14ac:dyDescent="0.25">
      <c r="A42" s="16"/>
      <c r="B42" s="43" t="s">
        <v>30</v>
      </c>
      <c r="C42" s="46"/>
      <c r="D42" s="18"/>
      <c r="F42" s="44">
        <f>IF((F46-4*$C$12)&lt;0,0,(F46-4*$C$12))</f>
        <v>80</v>
      </c>
      <c r="G42" s="126">
        <f t="shared" si="6"/>
        <v>45.335999999999999</v>
      </c>
      <c r="H42" s="135">
        <f t="shared" si="5"/>
        <v>284.68403162055336</v>
      </c>
      <c r="I42" s="135">
        <f t="shared" si="5"/>
        <v>307.35203162055336</v>
      </c>
      <c r="J42" s="135">
        <f t="shared" si="5"/>
        <v>330.02003162055337</v>
      </c>
      <c r="K42" s="135">
        <f t="shared" si="5"/>
        <v>352.68803162055337</v>
      </c>
      <c r="L42" s="135">
        <f t="shared" si="5"/>
        <v>375.35603162055338</v>
      </c>
      <c r="M42" s="135">
        <f t="shared" si="5"/>
        <v>398.02403162055339</v>
      </c>
      <c r="N42" s="136">
        <f t="shared" si="5"/>
        <v>420.69203162055334</v>
      </c>
      <c r="O42" s="153"/>
      <c r="P42"/>
      <c r="Q42"/>
      <c r="R42"/>
      <c r="S42"/>
    </row>
    <row r="43" spans="1:19" ht="15.75" thickBot="1" x14ac:dyDescent="0.3">
      <c r="A43" s="16"/>
      <c r="B43" s="17"/>
      <c r="C43" s="18"/>
      <c r="D43" s="18"/>
      <c r="F43" s="44">
        <f>IF((F47-4*$C$12)&lt;0,0,(F47-4*$C$12))</f>
        <v>90</v>
      </c>
      <c r="G43" s="126">
        <f t="shared" si="6"/>
        <v>46.503</v>
      </c>
      <c r="H43" s="135">
        <f t="shared" si="5"/>
        <v>286.51953557312254</v>
      </c>
      <c r="I43" s="135">
        <f t="shared" si="5"/>
        <v>309.7710355731225</v>
      </c>
      <c r="J43" s="135">
        <f t="shared" si="5"/>
        <v>333.02253557312258</v>
      </c>
      <c r="K43" s="135">
        <f t="shared" si="5"/>
        <v>356.27403557312255</v>
      </c>
      <c r="L43" s="135">
        <f t="shared" si="5"/>
        <v>379.52553557312251</v>
      </c>
      <c r="M43" s="135">
        <f t="shared" si="5"/>
        <v>402.77703557312248</v>
      </c>
      <c r="N43" s="136">
        <f t="shared" si="5"/>
        <v>426.02853557312255</v>
      </c>
      <c r="O43" s="153"/>
      <c r="P43"/>
      <c r="Q43"/>
      <c r="R43"/>
      <c r="S43"/>
    </row>
    <row r="44" spans="1:19" ht="15.75" thickBot="1" x14ac:dyDescent="0.3">
      <c r="A44" s="16"/>
      <c r="B44" s="47"/>
      <c r="C44" s="48"/>
      <c r="E44" s="49" t="s">
        <v>13</v>
      </c>
      <c r="F44" s="50">
        <f>E19</f>
        <v>100</v>
      </c>
      <c r="G44" s="126">
        <f t="shared" si="6"/>
        <v>47.57</v>
      </c>
      <c r="H44" s="135">
        <f t="shared" si="5"/>
        <v>287.60503952569167</v>
      </c>
      <c r="I44" s="135">
        <f t="shared" si="5"/>
        <v>311.39003952569169</v>
      </c>
      <c r="J44" s="135">
        <f t="shared" si="5"/>
        <v>335.17503952569172</v>
      </c>
      <c r="K44" s="135">
        <f t="shared" si="5"/>
        <v>358.96003952569168</v>
      </c>
      <c r="L44" s="135">
        <f t="shared" si="5"/>
        <v>382.74503952569171</v>
      </c>
      <c r="M44" s="135">
        <f t="shared" si="5"/>
        <v>406.53003952569168</v>
      </c>
      <c r="N44" s="136">
        <f t="shared" si="5"/>
        <v>430.3150395256917</v>
      </c>
      <c r="O44" s="153"/>
      <c r="P44"/>
      <c r="Q44"/>
      <c r="R44"/>
      <c r="S44"/>
    </row>
    <row r="45" spans="1:19" ht="15" x14ac:dyDescent="0.25">
      <c r="A45" s="16"/>
      <c r="B45" s="17"/>
      <c r="C45" s="18"/>
      <c r="D45" s="18"/>
      <c r="F45" s="51">
        <f>F44+C37</f>
        <v>110</v>
      </c>
      <c r="G45" s="126">
        <f t="shared" si="6"/>
        <v>48.536999999999992</v>
      </c>
      <c r="H45" s="135">
        <f t="shared" si="5"/>
        <v>287.94054347826079</v>
      </c>
      <c r="I45" s="135">
        <f t="shared" si="5"/>
        <v>312.20904347826081</v>
      </c>
      <c r="J45" s="135">
        <f t="shared" si="5"/>
        <v>336.47754347826083</v>
      </c>
      <c r="K45" s="135">
        <f t="shared" si="5"/>
        <v>360.74604347826079</v>
      </c>
      <c r="L45" s="135">
        <f t="shared" si="5"/>
        <v>385.0145434782608</v>
      </c>
      <c r="M45" s="135">
        <f t="shared" si="5"/>
        <v>409.28304347826077</v>
      </c>
      <c r="N45" s="136">
        <f t="shared" si="5"/>
        <v>433.55154347826078</v>
      </c>
      <c r="O45" s="153"/>
      <c r="P45"/>
      <c r="Q45"/>
      <c r="R45"/>
      <c r="S45"/>
    </row>
    <row r="46" spans="1:19" ht="15" x14ac:dyDescent="0.25">
      <c r="A46" s="16"/>
      <c r="B46" s="17"/>
      <c r="C46" s="52"/>
      <c r="D46" s="18"/>
      <c r="F46" s="51">
        <f>F44+2*C37</f>
        <v>120</v>
      </c>
      <c r="G46" s="126">
        <f t="shared" si="6"/>
        <v>49.403999999999996</v>
      </c>
      <c r="H46" s="135">
        <f t="shared" si="5"/>
        <v>287.52604743082998</v>
      </c>
      <c r="I46" s="135">
        <f t="shared" si="5"/>
        <v>312.22804743082997</v>
      </c>
      <c r="J46" s="135">
        <f t="shared" si="5"/>
        <v>336.93004743082997</v>
      </c>
      <c r="K46" s="135">
        <f t="shared" si="5"/>
        <v>361.63204743082997</v>
      </c>
      <c r="L46" s="135">
        <f t="shared" si="5"/>
        <v>386.33404743082997</v>
      </c>
      <c r="M46" s="135">
        <f t="shared" si="5"/>
        <v>411.03604743082997</v>
      </c>
      <c r="N46" s="136">
        <f t="shared" si="5"/>
        <v>435.73804743082997</v>
      </c>
      <c r="O46" s="153"/>
      <c r="P46"/>
      <c r="Q46"/>
      <c r="R46"/>
      <c r="S46"/>
    </row>
    <row r="47" spans="1:19" ht="15" x14ac:dyDescent="0.25">
      <c r="A47" s="16"/>
      <c r="B47" s="17"/>
      <c r="C47" s="18"/>
      <c r="D47" s="18"/>
      <c r="F47" s="51">
        <f>F44+3*C37</f>
        <v>130</v>
      </c>
      <c r="G47" s="126">
        <f t="shared" si="6"/>
        <v>50.170999999999992</v>
      </c>
      <c r="H47" s="135">
        <f t="shared" si="5"/>
        <v>286.3615513833991</v>
      </c>
      <c r="I47" s="135">
        <f t="shared" si="5"/>
        <v>311.44705138339913</v>
      </c>
      <c r="J47" s="135">
        <f t="shared" si="5"/>
        <v>336.53255138339915</v>
      </c>
      <c r="K47" s="135">
        <f t="shared" si="5"/>
        <v>361.61805138339912</v>
      </c>
      <c r="L47" s="135">
        <f t="shared" si="5"/>
        <v>386.70355138339909</v>
      </c>
      <c r="M47" s="135">
        <f t="shared" si="5"/>
        <v>411.78905138339911</v>
      </c>
      <c r="N47" s="136">
        <f t="shared" si="5"/>
        <v>436.87455138339914</v>
      </c>
      <c r="O47" s="153"/>
      <c r="P47"/>
      <c r="Q47"/>
      <c r="R47"/>
      <c r="S47"/>
    </row>
    <row r="48" spans="1:19" ht="15" x14ac:dyDescent="0.25">
      <c r="A48" s="16"/>
      <c r="B48" s="17"/>
      <c r="C48" s="18"/>
      <c r="D48" s="18"/>
      <c r="F48" s="51">
        <f>F44+4*C37</f>
        <v>140</v>
      </c>
      <c r="G48" s="126">
        <f t="shared" si="6"/>
        <v>50.837999999999994</v>
      </c>
      <c r="H48" s="135">
        <f t="shared" si="5"/>
        <v>284.44705533596834</v>
      </c>
      <c r="I48" s="135">
        <f t="shared" si="5"/>
        <v>309.86605533596833</v>
      </c>
      <c r="J48" s="135">
        <f t="shared" si="5"/>
        <v>335.28505533596831</v>
      </c>
      <c r="K48" s="135">
        <f t="shared" si="5"/>
        <v>360.70405533596829</v>
      </c>
      <c r="L48" s="135">
        <f t="shared" si="5"/>
        <v>386.12305533596833</v>
      </c>
      <c r="M48" s="135">
        <f t="shared" si="5"/>
        <v>411.54205533596831</v>
      </c>
      <c r="N48" s="136">
        <f t="shared" si="5"/>
        <v>436.96105533596835</v>
      </c>
      <c r="O48" s="153"/>
      <c r="P48"/>
      <c r="Q48"/>
      <c r="R48"/>
      <c r="S48"/>
    </row>
    <row r="49" spans="1:19" ht="13.5" customHeight="1" x14ac:dyDescent="0.2">
      <c r="A49" s="16"/>
      <c r="B49" s="17"/>
      <c r="C49" s="18"/>
      <c r="D49" s="18"/>
      <c r="F49" s="180" t="s">
        <v>104</v>
      </c>
      <c r="G49" s="173"/>
      <c r="H49" s="173"/>
      <c r="I49" s="173"/>
      <c r="J49" s="173"/>
      <c r="K49" s="173"/>
      <c r="L49" s="173"/>
      <c r="M49" s="173"/>
      <c r="N49" s="174"/>
      <c r="O49" s="153"/>
      <c r="P49"/>
      <c r="Q49"/>
      <c r="R49"/>
      <c r="S49"/>
    </row>
    <row r="50" spans="1:19" ht="9.75" customHeight="1" x14ac:dyDescent="0.2">
      <c r="A50" s="16"/>
      <c r="B50" s="17"/>
      <c r="C50" s="18"/>
      <c r="D50" s="18"/>
      <c r="F50" s="183" t="s">
        <v>16</v>
      </c>
      <c r="G50" s="175"/>
      <c r="H50" s="175"/>
      <c r="I50" s="175"/>
      <c r="J50" s="175"/>
      <c r="K50" s="175"/>
      <c r="L50" s="175"/>
      <c r="M50" s="175"/>
      <c r="N50" s="176"/>
      <c r="O50" s="153"/>
      <c r="P50"/>
      <c r="Q50"/>
      <c r="R50"/>
      <c r="S50"/>
    </row>
    <row r="51" spans="1:19" ht="9.75" customHeight="1" x14ac:dyDescent="0.2">
      <c r="A51" s="16"/>
      <c r="B51" s="17"/>
      <c r="C51" s="18"/>
      <c r="D51" s="18"/>
      <c r="F51" s="183" t="s">
        <v>103</v>
      </c>
      <c r="G51" s="175"/>
      <c r="H51" s="175"/>
      <c r="I51" s="175"/>
      <c r="J51" s="175"/>
      <c r="K51" s="175"/>
      <c r="L51" s="175"/>
      <c r="M51" s="175"/>
      <c r="N51" s="176"/>
      <c r="O51" s="153"/>
      <c r="P51"/>
      <c r="Q51"/>
      <c r="R51"/>
      <c r="S51"/>
    </row>
    <row r="52" spans="1:19" ht="11.25" customHeight="1" x14ac:dyDescent="0.2">
      <c r="A52" s="16"/>
      <c r="B52" s="17"/>
      <c r="C52" s="18"/>
      <c r="D52" s="18"/>
      <c r="F52" s="79" t="s">
        <v>88</v>
      </c>
      <c r="G52" s="80"/>
      <c r="H52" s="80"/>
      <c r="I52" s="80"/>
      <c r="J52" s="80"/>
      <c r="K52" s="130"/>
      <c r="L52" s="130"/>
      <c r="M52" s="130"/>
      <c r="N52" s="166"/>
      <c r="O52" s="153"/>
      <c r="P52"/>
      <c r="Q52"/>
      <c r="R52"/>
      <c r="S52"/>
    </row>
    <row r="53" spans="1:19" ht="12" customHeight="1" thickBot="1" x14ac:dyDescent="0.25">
      <c r="A53" s="16"/>
      <c r="B53" s="17"/>
      <c r="C53" s="18"/>
      <c r="D53" s="18"/>
      <c r="F53" s="186" t="s">
        <v>38</v>
      </c>
      <c r="G53" s="177"/>
      <c r="H53" s="178"/>
      <c r="I53" s="178"/>
      <c r="J53" s="178"/>
      <c r="K53" s="170"/>
      <c r="L53" s="170"/>
      <c r="M53" s="170"/>
      <c r="N53" s="171"/>
      <c r="O53" s="153"/>
      <c r="P53"/>
      <c r="Q53"/>
      <c r="R53"/>
      <c r="S53"/>
    </row>
    <row r="54" spans="1:19" ht="11.25" customHeight="1" x14ac:dyDescent="0.2">
      <c r="A54" s="16"/>
      <c r="B54" s="17"/>
      <c r="C54" s="18"/>
      <c r="D54" s="18"/>
      <c r="E54" s="53"/>
      <c r="F54" s="53"/>
      <c r="G54" s="53"/>
      <c r="H54" s="53"/>
      <c r="I54" s="53"/>
      <c r="J54" s="53"/>
      <c r="K54" s="12"/>
      <c r="L54" s="12"/>
      <c r="M54" s="12"/>
      <c r="N54" s="15"/>
      <c r="O54" s="153"/>
      <c r="P54"/>
      <c r="Q54"/>
      <c r="R54"/>
      <c r="S54"/>
    </row>
    <row r="55" spans="1:19" ht="11.25" customHeight="1" thickBot="1" x14ac:dyDescent="0.25">
      <c r="B55" s="252"/>
      <c r="C55" s="253"/>
      <c r="D55" s="253"/>
      <c r="E55" s="253"/>
      <c r="F55" s="253"/>
      <c r="G55" s="253"/>
      <c r="H55" s="253"/>
      <c r="I55" s="253"/>
      <c r="J55" s="253"/>
      <c r="K55" s="55"/>
      <c r="L55" s="55"/>
      <c r="M55" s="55"/>
      <c r="N55" s="56"/>
      <c r="O55" s="153"/>
      <c r="P55"/>
      <c r="Q55"/>
      <c r="R55"/>
      <c r="S55"/>
    </row>
    <row r="56" spans="1:19" x14ac:dyDescent="0.2">
      <c r="O56" s="153"/>
      <c r="P56"/>
      <c r="Q56"/>
      <c r="R56"/>
      <c r="S56"/>
    </row>
  </sheetData>
  <sheetProtection password="CE5A" sheet="1" objects="1" scenarios="1"/>
  <mergeCells count="23">
    <mergeCell ref="H38:N38"/>
    <mergeCell ref="B55:J55"/>
    <mergeCell ref="G8:G10"/>
    <mergeCell ref="B32:C32"/>
    <mergeCell ref="G33:G35"/>
    <mergeCell ref="I33:M33"/>
    <mergeCell ref="H37:N37"/>
    <mergeCell ref="H13:N13"/>
    <mergeCell ref="E24:N24"/>
    <mergeCell ref="B30:J30"/>
    <mergeCell ref="B2:N2"/>
    <mergeCell ref="B3:N3"/>
    <mergeCell ref="B7:C7"/>
    <mergeCell ref="H5:K5"/>
    <mergeCell ref="E5:G5"/>
    <mergeCell ref="L5:N5"/>
    <mergeCell ref="E28:N28"/>
    <mergeCell ref="E29:N29"/>
    <mergeCell ref="E27:N27"/>
    <mergeCell ref="I8:M8"/>
    <mergeCell ref="H12:N12"/>
    <mergeCell ref="E25:N25"/>
    <mergeCell ref="E26:N26"/>
  </mergeCells>
  <phoneticPr fontId="15" type="noConversion"/>
  <conditionalFormatting sqref="H40:H48">
    <cfRule type="cellIs" dxfId="217" priority="1" stopIfTrue="1" operator="between">
      <formula>MAX($H$40:$H$48)-0.5</formula>
      <formula>MAX($H$40:$H$48)+0.5</formula>
    </cfRule>
    <cfRule type="cellIs" dxfId="216" priority="2" stopIfTrue="1" operator="between">
      <formula>MAX($H$40:$H$48)-0.5</formula>
      <formula>MAX($H$40:$H$48)-1.5</formula>
    </cfRule>
    <cfRule type="cellIs" dxfId="215" priority="3" stopIfTrue="1" operator="between">
      <formula>MAX($H$40:$H$48+0.5)</formula>
      <formula>MAX($H$40:$H$48)+1.5</formula>
    </cfRule>
  </conditionalFormatting>
  <conditionalFormatting sqref="I40:I48">
    <cfRule type="cellIs" dxfId="214" priority="4" stopIfTrue="1" operator="between">
      <formula>MAX($I$40:$I$55)-0.5</formula>
      <formula>MAX($I$40:$I$55)+0.5</formula>
    </cfRule>
    <cfRule type="cellIs" dxfId="213" priority="5" stopIfTrue="1" operator="between">
      <formula>MAX($I$40:$I$55)-0.5</formula>
      <formula>MAX($I$40:$I$55)-1.5</formula>
    </cfRule>
    <cfRule type="cellIs" dxfId="212" priority="6" stopIfTrue="1" operator="between">
      <formula>MAX($I$40:$I$55)+0.5</formula>
      <formula>MAX($I$40:$I$55)+1.5</formula>
    </cfRule>
  </conditionalFormatting>
  <conditionalFormatting sqref="J40:J48">
    <cfRule type="cellIs" dxfId="211" priority="7" stopIfTrue="1" operator="between">
      <formula>MAX($J$40:$J$55)-0.5</formula>
      <formula>MAX($J$40:$J$55)+0.5</formula>
    </cfRule>
    <cfRule type="cellIs" dxfId="210" priority="8" stopIfTrue="1" operator="between">
      <formula>MAX($J$40:$J$55)-0.5</formula>
      <formula>MAX($J$40:$J$55)-1.5</formula>
    </cfRule>
    <cfRule type="cellIs" dxfId="209" priority="9" stopIfTrue="1" operator="between">
      <formula>MAX($J$40:$J$55)+0.5</formula>
      <formula>MAX($J$40:$J$55)+1.5</formula>
    </cfRule>
  </conditionalFormatting>
  <conditionalFormatting sqref="K40:K48">
    <cfRule type="cellIs" dxfId="208" priority="10" stopIfTrue="1" operator="between">
      <formula>MAX($K$40:$K$55)-0.5</formula>
      <formula>MAX($K$40:$K$55)+0.5</formula>
    </cfRule>
    <cfRule type="cellIs" dxfId="207" priority="11" stopIfTrue="1" operator="between">
      <formula>MAX($K$40:$K$55)-0.5</formula>
      <formula>MAX($K$40:$K$55)-1.5</formula>
    </cfRule>
    <cfRule type="cellIs" dxfId="206" priority="12" stopIfTrue="1" operator="between">
      <formula>MAX($K$40:$K$55)+0.5</formula>
      <formula>MAX($K$40:$K$55)+1.5</formula>
    </cfRule>
  </conditionalFormatting>
  <conditionalFormatting sqref="L40:L48">
    <cfRule type="cellIs" dxfId="205" priority="13" stopIfTrue="1" operator="between">
      <formula>MAX($L$40:$L$55)-0.5</formula>
      <formula>MAX($L$40:$L$55)+0.5</formula>
    </cfRule>
    <cfRule type="cellIs" dxfId="204" priority="14" stopIfTrue="1" operator="between">
      <formula>MAX($L$40:$L$55)-0.5</formula>
      <formula>MAX($L$40:$L$55)-1.5</formula>
    </cfRule>
    <cfRule type="cellIs" dxfId="203" priority="15" stopIfTrue="1" operator="between">
      <formula>MAX($L$40:$L$55)+0.5</formula>
      <formula>MAX($L$40:$L$55)+1.5</formula>
    </cfRule>
  </conditionalFormatting>
  <conditionalFormatting sqref="M40:M48">
    <cfRule type="cellIs" dxfId="202" priority="16" stopIfTrue="1" operator="between">
      <formula>MAX($M$40:$M$55)-0.5</formula>
      <formula>MAX($M$40:$M$55)+0.5</formula>
    </cfRule>
    <cfRule type="cellIs" dxfId="201" priority="17" stopIfTrue="1" operator="between">
      <formula>MAX($M$40:$M$55)-0.5</formula>
      <formula>MAX($M$40:$M$55)-1.5</formula>
    </cfRule>
    <cfRule type="cellIs" dxfId="200" priority="18" stopIfTrue="1" operator="between">
      <formula>MAX($M$40:$M$55)+0.5</formula>
      <formula>MAX($M$40:$M$55)+1.5</formula>
    </cfRule>
  </conditionalFormatting>
  <conditionalFormatting sqref="N40:N48">
    <cfRule type="cellIs" dxfId="199" priority="19" stopIfTrue="1" operator="between">
      <formula>MAX($N$40:$N$55)-0.5</formula>
      <formula>MAX($N$40:$N$55)+0.5</formula>
    </cfRule>
    <cfRule type="cellIs" dxfId="198" priority="20" stopIfTrue="1" operator="between">
      <formula>MAX($N$40:$N$55)-0.5</formula>
      <formula>MAX($N$40:$N$55)-1.5</formula>
    </cfRule>
    <cfRule type="cellIs" dxfId="197" priority="21" stopIfTrue="1" operator="between">
      <formula>MAX($N$40:$N$55)+0.5</formula>
      <formula>MAX($N$40:$N$55)+1.5</formula>
    </cfRule>
  </conditionalFormatting>
  <conditionalFormatting sqref="I15:I23">
    <cfRule type="cellIs" dxfId="196" priority="22" stopIfTrue="1" operator="between">
      <formula>MAX($I$15:$I$23)-0.5</formula>
      <formula>MAX($I$15:$I$23)+0.5</formula>
    </cfRule>
    <cfRule type="cellIs" dxfId="195" priority="23" stopIfTrue="1" operator="between">
      <formula>MAX($I$15:$I$23)-0.5</formula>
      <formula>MAX($I$15:$I$23)-1.5</formula>
    </cfRule>
    <cfRule type="cellIs" dxfId="194" priority="24" stopIfTrue="1" operator="between">
      <formula>MAX($I$15:$I$23)+0.5</formula>
      <formula>MAX($I$15:$I$23)+1.5</formula>
    </cfRule>
  </conditionalFormatting>
  <conditionalFormatting sqref="J15:J23">
    <cfRule type="cellIs" dxfId="193" priority="25" stopIfTrue="1" operator="between">
      <formula>MAX($J$15:$J$23)-0.5</formula>
      <formula>MAX($J$15:$J$23)+0.5</formula>
    </cfRule>
    <cfRule type="cellIs" dxfId="192" priority="26" stopIfTrue="1" operator="between">
      <formula>MAX($J$15:$J$23)-0.5</formula>
      <formula>MAX($J$15:$J$23)-1.5</formula>
    </cfRule>
    <cfRule type="cellIs" dxfId="191" priority="27" stopIfTrue="1" operator="between">
      <formula>MAX($J$15:$J$23)+0.5</formula>
      <formula>MAX($J$15:$J$23)+1.5</formula>
    </cfRule>
  </conditionalFormatting>
  <conditionalFormatting sqref="K15:K23">
    <cfRule type="cellIs" dxfId="190" priority="28" stopIfTrue="1" operator="between">
      <formula>MAX($K$15:$K$23)-0.5</formula>
      <formula>MAX($K$15:$K$23)+0.5</formula>
    </cfRule>
    <cfRule type="cellIs" dxfId="189" priority="29" stopIfTrue="1" operator="between">
      <formula>MAX($K$15:$K$23)-0.5</formula>
      <formula>MAX($K$15:$K$23)-1.5</formula>
    </cfRule>
    <cfRule type="cellIs" dxfId="188" priority="30" stopIfTrue="1" operator="between">
      <formula>MAX($K$15:$K$23)+0.5</formula>
      <formula>MAX($K$15:$K$23)+1.5</formula>
    </cfRule>
  </conditionalFormatting>
  <conditionalFormatting sqref="L15:L23">
    <cfRule type="cellIs" dxfId="187" priority="31" stopIfTrue="1" operator="between">
      <formula>MAX($L$15:$L$23)-0.5</formula>
      <formula>MAX($L$15:$L$23)+0.5</formula>
    </cfRule>
    <cfRule type="cellIs" dxfId="186" priority="32" stopIfTrue="1" operator="between">
      <formula>MAX($L$15:$L$23)-0.5</formula>
      <formula>MAX($L$15:$L$23)-1.5</formula>
    </cfRule>
    <cfRule type="cellIs" dxfId="185" priority="33" stopIfTrue="1" operator="between">
      <formula>MAX($L$15:$L$23+0.5)</formula>
      <formula>MAX($L$15:$L$23)+1.5</formula>
    </cfRule>
  </conditionalFormatting>
  <conditionalFormatting sqref="M15:M23">
    <cfRule type="cellIs" dxfId="184" priority="34" stopIfTrue="1" operator="between">
      <formula>MAX($M$15:$M$23)-0.5</formula>
      <formula>":$M$23)+0.5"</formula>
    </cfRule>
    <cfRule type="cellIs" dxfId="183" priority="35" stopIfTrue="1" operator="between">
      <formula>MAX($M$15:$M$23)-0.5</formula>
      <formula>MAX($M$15:$M$23)-1.5</formula>
    </cfRule>
    <cfRule type="cellIs" dxfId="182" priority="36" stopIfTrue="1" operator="between">
      <formula>MAX($M$15:$M$23)+0.5</formula>
      <formula>MAX($M$15:$M$23)+1.5</formula>
    </cfRule>
  </conditionalFormatting>
  <conditionalFormatting sqref="N15:N23">
    <cfRule type="cellIs" dxfId="181" priority="37" stopIfTrue="1" operator="between">
      <formula>MAX($N$15:$N$23)-0.5</formula>
      <formula>MAX($N$15:$N$23)+0.5</formula>
    </cfRule>
    <cfRule type="cellIs" dxfId="180" priority="38" stopIfTrue="1" operator="between">
      <formula>MAX($N$15:$N$23)-0.5</formula>
      <formula>MAX($N$15:$N$23)-1.5</formula>
    </cfRule>
    <cfRule type="cellIs" dxfId="179" priority="39" stopIfTrue="1" operator="between">
      <formula>MAX($N$15:$N$23)+0.5</formula>
      <formula>MAX($N$15:$N$23)+1.5</formula>
    </cfRule>
  </conditionalFormatting>
  <conditionalFormatting sqref="H15:H23">
    <cfRule type="cellIs" dxfId="178" priority="40" stopIfTrue="1" operator="between">
      <formula>MAX($H$15:$H$23)-0.5</formula>
      <formula>MAX($H$15:$H$23)+0.5</formula>
    </cfRule>
    <cfRule type="cellIs" dxfId="177" priority="41" stopIfTrue="1" operator="between">
      <formula>MAX($H$15:$H$23)-1.5</formula>
      <formula>MAX($H$15:$H$23)-0.5</formula>
    </cfRule>
    <cfRule type="cellIs" dxfId="176" priority="42" stopIfTrue="1" operator="between">
      <formula>MAX($H$15:$H$23)+0.5</formula>
      <formula>MAX($H$15:$H$23)+1.5</formula>
    </cfRule>
  </conditionalFormatting>
  <hyperlinks>
    <hyperlink ref="E5:G5" location="'Canola (hybrid) MR'!A1" display="Go to Marginal Revenue Chart"/>
    <hyperlink ref="H5:J5" location="'Canola (hybrid) Fertilizer'!A1" display="Go to Fertilizer Price as variable"/>
    <hyperlink ref="L5" location="'Data Entry'!A1" display="Return to Data Entry"/>
    <hyperlink ref="G33" location="'Wheat crop price'!D47" display="Go to Total Net Return"/>
    <hyperlink ref="G33:G35" location="'Canola (hybrid) Crop'!D1" display="Return to Net Return"/>
    <hyperlink ref="G8" location="'Wheat crop price'!D47" display="Go to Total Net Return"/>
    <hyperlink ref="G8:G10" location="'Canola (hybrid) Crop'!D53" display="Go to Total Net Return Below"/>
  </hyperlinks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showGridLines="0" workbookViewId="0">
      <selection activeCell="G21" sqref="G21"/>
    </sheetView>
  </sheetViews>
  <sheetFormatPr defaultRowHeight="12.75" x14ac:dyDescent="0.2"/>
  <cols>
    <col min="1" max="1" width="1.5703125" style="10" customWidth="1"/>
    <col min="2" max="2" width="17.140625" style="10" customWidth="1"/>
    <col min="3" max="3" width="9.42578125" style="10" bestFit="1" customWidth="1"/>
    <col min="4" max="4" width="11.140625" style="10" customWidth="1"/>
    <col min="5" max="5" width="9.42578125" style="10" bestFit="1" customWidth="1"/>
    <col min="6" max="6" width="12" style="10" customWidth="1"/>
    <col min="7" max="9" width="9.5703125" style="10" customWidth="1"/>
    <col min="10" max="10" width="10" style="10" customWidth="1"/>
    <col min="11" max="13" width="9.5703125" style="10" customWidth="1"/>
    <col min="14" max="14" width="15.85546875" style="10" customWidth="1"/>
    <col min="15" max="16384" width="9.140625" style="10"/>
  </cols>
  <sheetData>
    <row r="1" spans="1:14" ht="6" customHeight="1" thickBot="1" x14ac:dyDescent="0.25">
      <c r="B1" s="11"/>
      <c r="C1" s="11"/>
      <c r="D1" s="11"/>
      <c r="E1" s="11"/>
      <c r="F1" s="11"/>
      <c r="G1" s="11"/>
      <c r="H1" s="11"/>
      <c r="I1" s="11"/>
    </row>
    <row r="2" spans="1:14" ht="20.25" x14ac:dyDescent="0.3">
      <c r="A2" s="11"/>
      <c r="B2" s="234" t="s">
        <v>40</v>
      </c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6"/>
    </row>
    <row r="3" spans="1:14" ht="20.25" x14ac:dyDescent="0.3">
      <c r="A3" s="11"/>
      <c r="B3" s="237" t="s">
        <v>47</v>
      </c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9"/>
    </row>
    <row r="4" spans="1:14" ht="6.75" customHeight="1" x14ac:dyDescent="0.3">
      <c r="A4" s="11"/>
      <c r="B4" s="13"/>
      <c r="C4" s="14"/>
      <c r="D4" s="14"/>
      <c r="E4" s="14"/>
      <c r="F4" s="14"/>
      <c r="G4" s="14"/>
      <c r="H4" s="14"/>
      <c r="I4" s="14"/>
      <c r="J4" s="12"/>
      <c r="K4" s="12"/>
      <c r="L4" s="12"/>
      <c r="M4" s="15"/>
      <c r="N4" s="158"/>
    </row>
    <row r="5" spans="1:14" x14ac:dyDescent="0.2">
      <c r="B5" s="198"/>
      <c r="C5" s="199"/>
      <c r="D5" s="282" t="s">
        <v>76</v>
      </c>
      <c r="E5" s="283"/>
      <c r="F5" s="283"/>
      <c r="G5" s="282" t="s">
        <v>121</v>
      </c>
      <c r="H5" s="283"/>
      <c r="I5" s="283"/>
      <c r="J5" s="283"/>
      <c r="K5" s="245" t="s">
        <v>96</v>
      </c>
      <c r="L5" s="244"/>
      <c r="M5" s="246"/>
    </row>
    <row r="6" spans="1:14" ht="4.5" customHeight="1" thickBot="1" x14ac:dyDescent="0.25">
      <c r="A6" s="16"/>
      <c r="B6" s="17"/>
      <c r="C6" s="18"/>
      <c r="D6" s="18"/>
      <c r="E6" s="18"/>
      <c r="F6" s="18"/>
      <c r="G6" s="18"/>
      <c r="H6" s="18"/>
      <c r="I6" s="18"/>
      <c r="J6" s="12"/>
      <c r="K6" s="12"/>
      <c r="L6" s="12"/>
      <c r="M6" s="15"/>
    </row>
    <row r="7" spans="1:14" ht="15.75" customHeight="1" thickBot="1" x14ac:dyDescent="0.3">
      <c r="A7" s="16"/>
      <c r="B7" s="240" t="s">
        <v>39</v>
      </c>
      <c r="C7" s="241"/>
      <c r="E7" s="18"/>
      <c r="F7" s="18"/>
      <c r="G7" s="18"/>
      <c r="H7" s="19"/>
      <c r="I7" s="18"/>
      <c r="J7" s="19"/>
      <c r="K7" s="12"/>
      <c r="L7" s="12"/>
      <c r="M7" s="15"/>
    </row>
    <row r="8" spans="1:14" ht="15" customHeight="1" x14ac:dyDescent="0.25">
      <c r="A8" s="16"/>
      <c r="B8" s="87" t="s">
        <v>1</v>
      </c>
      <c r="C8" s="21" t="str">
        <f>'Data Entry'!C7</f>
        <v>UREA</v>
      </c>
      <c r="D8" s="18"/>
      <c r="E8" s="62"/>
      <c r="F8" s="63"/>
      <c r="G8" s="63"/>
      <c r="H8" s="242" t="s">
        <v>17</v>
      </c>
      <c r="I8" s="243"/>
      <c r="J8" s="243"/>
      <c r="K8" s="243"/>
      <c r="L8" s="243"/>
      <c r="M8" s="64"/>
    </row>
    <row r="9" spans="1:14" ht="15" x14ac:dyDescent="0.2">
      <c r="A9" s="16"/>
      <c r="B9" s="20" t="s">
        <v>3</v>
      </c>
      <c r="C9" s="59">
        <f>'Data Entry'!C8</f>
        <v>700</v>
      </c>
      <c r="D9" s="18"/>
      <c r="E9" s="65"/>
      <c r="F9" s="66"/>
      <c r="G9" s="66"/>
      <c r="H9" s="67"/>
      <c r="I9" s="66"/>
      <c r="J9" s="67"/>
      <c r="K9" s="68"/>
      <c r="L9" s="68"/>
      <c r="M9" s="69"/>
    </row>
    <row r="10" spans="1:14" ht="15" x14ac:dyDescent="0.25">
      <c r="A10" s="16"/>
      <c r="B10" s="20" t="s">
        <v>4</v>
      </c>
      <c r="C10" s="25">
        <f>'Data Entry'!C9</f>
        <v>46</v>
      </c>
      <c r="D10" s="18"/>
      <c r="E10" s="65"/>
      <c r="F10" s="66"/>
      <c r="G10" s="26">
        <f>J10-C14*3</f>
        <v>3.5</v>
      </c>
      <c r="H10" s="26">
        <f>J10-C14*2</f>
        <v>4</v>
      </c>
      <c r="I10" s="26">
        <f>J10-C14</f>
        <v>4.5</v>
      </c>
      <c r="J10" s="27">
        <f>'Data Entry'!F14</f>
        <v>5</v>
      </c>
      <c r="K10" s="26">
        <f>J10+C14</f>
        <v>5.5</v>
      </c>
      <c r="L10" s="26">
        <f>J10+C14*2</f>
        <v>6</v>
      </c>
      <c r="M10" s="28">
        <f>J10+C14*3</f>
        <v>6.5</v>
      </c>
    </row>
    <row r="11" spans="1:14" ht="15" x14ac:dyDescent="0.25">
      <c r="A11" s="16"/>
      <c r="B11" s="20" t="s">
        <v>5</v>
      </c>
      <c r="C11" s="61">
        <f>(C9/((C10/100)*2200))</f>
        <v>0.69169960474308301</v>
      </c>
      <c r="D11" s="18"/>
      <c r="E11" s="65"/>
      <c r="F11" s="29"/>
      <c r="G11" s="66"/>
      <c r="H11" s="66"/>
      <c r="I11" s="66"/>
      <c r="J11" s="68"/>
      <c r="K11" s="68"/>
      <c r="L11" s="68"/>
      <c r="M11" s="69"/>
    </row>
    <row r="12" spans="1:14" ht="15" x14ac:dyDescent="0.25">
      <c r="A12" s="16"/>
      <c r="B12" s="30" t="s">
        <v>20</v>
      </c>
      <c r="C12" s="106">
        <f>'Data Entry'!C11</f>
        <v>10</v>
      </c>
      <c r="D12" s="18"/>
      <c r="E12" s="71"/>
      <c r="F12" s="29"/>
      <c r="G12" s="269" t="s">
        <v>111</v>
      </c>
      <c r="H12" s="269"/>
      <c r="I12" s="269"/>
      <c r="J12" s="269"/>
      <c r="K12" s="269"/>
      <c r="L12" s="269"/>
      <c r="M12" s="270"/>
    </row>
    <row r="13" spans="1:14" ht="15.75" thickBot="1" x14ac:dyDescent="0.3">
      <c r="A13" s="16"/>
      <c r="B13" s="33" t="s">
        <v>106</v>
      </c>
      <c r="C13" s="46"/>
      <c r="D13" s="18"/>
      <c r="E13" s="72" t="s">
        <v>9</v>
      </c>
      <c r="F13" s="36" t="s">
        <v>41</v>
      </c>
      <c r="G13" s="247" t="s">
        <v>42</v>
      </c>
      <c r="H13" s="247"/>
      <c r="I13" s="247"/>
      <c r="J13" s="247"/>
      <c r="K13" s="247"/>
      <c r="L13" s="247"/>
      <c r="M13" s="248"/>
    </row>
    <row r="14" spans="1:14" ht="15" x14ac:dyDescent="0.25">
      <c r="A14" s="16"/>
      <c r="B14" s="37" t="s">
        <v>108</v>
      </c>
      <c r="C14" s="61">
        <f>'Data Entry'!C13</f>
        <v>0.5</v>
      </c>
      <c r="D14" s="18"/>
      <c r="E14" s="74" t="s">
        <v>11</v>
      </c>
      <c r="F14" s="75" t="s">
        <v>12</v>
      </c>
      <c r="G14" s="41"/>
      <c r="H14" s="41"/>
      <c r="I14" s="41"/>
      <c r="J14" s="41"/>
      <c r="K14" s="41"/>
      <c r="L14" s="41"/>
      <c r="M14" s="112"/>
    </row>
    <row r="15" spans="1:14" ht="15" x14ac:dyDescent="0.25">
      <c r="A15" s="16"/>
      <c r="B15" s="43" t="s">
        <v>28</v>
      </c>
      <c r="C15" s="46"/>
      <c r="D15" s="18"/>
      <c r="E15" s="190">
        <f>IF((E19-4*$C$12)&lt;0,0,(E19-4*$C$12))</f>
        <v>50</v>
      </c>
      <c r="F15" s="126">
        <f>IF((((-0.0015*(E15+$C$16)^2 + 0.4902*(E15+$C$16))-(-0.0015*($C$16)^2 + 0.4902*($C$16)))-((-0.0015*((E15-$C$12)+$C$16)^2 + 0.4902*((E15-$C$12)+$C$16))-(-0.0015*($C$16)^2 + 0.4902*($C$16))))&lt;0,0,((-0.0015*(E15+$C$16)^2 + 0.4902*(E15+$C$16))-(-0.0015*($C$16)^2 + 0.4902*($C$16)))-((-0.0015*((E15-$C$12)+$C$16)^2 + 0.4902*((E15-$C$12)+$C$16))-(-0.0015*($C$16)^2 + 0.4902*($C$16))))</f>
        <v>2.652000000000001</v>
      </c>
      <c r="G15" s="201">
        <f t="shared" ref="G15:G23" si="0">($F15*G$10)/($C$12*$C$11)</f>
        <v>1.3419120000000004</v>
      </c>
      <c r="H15" s="201">
        <f t="shared" ref="H15:M23" si="1">($F15*H$10)/($C$12*$C$11)</f>
        <v>1.5336137142857149</v>
      </c>
      <c r="I15" s="201">
        <f t="shared" si="1"/>
        <v>1.7253154285714292</v>
      </c>
      <c r="J15" s="201">
        <f t="shared" si="1"/>
        <v>1.9170171428571436</v>
      </c>
      <c r="K15" s="201">
        <f t="shared" si="1"/>
        <v>2.1087188571428581</v>
      </c>
      <c r="L15" s="201">
        <f t="shared" si="1"/>
        <v>2.3004205714285724</v>
      </c>
      <c r="M15" s="202">
        <f t="shared" si="1"/>
        <v>2.4921222857142866</v>
      </c>
    </row>
    <row r="16" spans="1:14" ht="15" x14ac:dyDescent="0.25">
      <c r="A16" s="16"/>
      <c r="B16" s="37" t="s">
        <v>29</v>
      </c>
      <c r="C16" s="107">
        <f>'Data Entry'!C15</f>
        <v>30</v>
      </c>
      <c r="D16" s="18"/>
      <c r="E16" s="190">
        <f>IF((E20-4*$C$12)&lt;0,0,(E20-4*$C$12))</f>
        <v>60</v>
      </c>
      <c r="F16" s="126">
        <f>IF((((-0.0015*(E16+$C$16)^2 + 0.4902*(E16+$C$16))-(-0.0015*($C$16)^2 + 0.4902*($C$16)))-((-0.0015*(E15+$C$16)^2 + 0.4902*(E15+$C$16))-(-0.0015*($C$16)^2 + 0.4902*($C$16))))&lt;0,0,((-0.0015*(E16+$C$16)^2 + 0.4902*(E16+$C$16))-(-0.0015*($C$16)^2 + 0.4902*($C$16)))-((-0.0015*(E15+$C$16)^2 + 0.4902*(E15+$C$16))-(-0.0015*($C$16)^2 + 0.4902*($C$16))))</f>
        <v>2.3520000000000039</v>
      </c>
      <c r="G16" s="203">
        <f t="shared" si="0"/>
        <v>1.1901120000000021</v>
      </c>
      <c r="H16" s="201">
        <f t="shared" si="1"/>
        <v>1.3601280000000022</v>
      </c>
      <c r="I16" s="201">
        <f t="shared" si="1"/>
        <v>1.5301440000000026</v>
      </c>
      <c r="J16" s="201">
        <f t="shared" si="1"/>
        <v>1.7001600000000028</v>
      </c>
      <c r="K16" s="201">
        <f t="shared" si="1"/>
        <v>1.8701760000000032</v>
      </c>
      <c r="L16" s="201">
        <f t="shared" si="1"/>
        <v>2.0401920000000033</v>
      </c>
      <c r="M16" s="202">
        <f t="shared" si="1"/>
        <v>2.2102080000000037</v>
      </c>
    </row>
    <row r="17" spans="1:13" ht="15" x14ac:dyDescent="0.25">
      <c r="A17" s="16"/>
      <c r="B17" s="43" t="s">
        <v>30</v>
      </c>
      <c r="C17" s="46"/>
      <c r="D17" s="18"/>
      <c r="E17" s="190">
        <f>IF((E21-4*$C$12)&lt;0,0,(E21-4*$C$12))</f>
        <v>70</v>
      </c>
      <c r="F17" s="126">
        <f t="shared" ref="F17:F23" si="2">IF((((-0.0015*(E17+$C$16)^2 + 0.4902*(E17+$C$16))-(-0.0015*($C$16)^2 + 0.4902*($C$16)))-((-0.0015*(E16+$C$16)^2 + 0.4902*(E16+$C$16))-(-0.0015*($C$16)^2 + 0.4902*($C$16))))&lt;0,0,((-0.0015*(E17+$C$16)^2 + 0.4902*(E17+$C$16))-(-0.0015*($C$16)^2 + 0.4902*($C$16)))-((-0.0015*(E16+$C$16)^2 + 0.4902*(E16+$C$16))-(-0.0015*($C$16)^2 + 0.4902*($C$16))))</f>
        <v>2.0519999999999996</v>
      </c>
      <c r="G17" s="201">
        <f t="shared" si="0"/>
        <v>1.0383119999999999</v>
      </c>
      <c r="H17" s="201">
        <f t="shared" si="1"/>
        <v>1.1866422857142855</v>
      </c>
      <c r="I17" s="201">
        <f t="shared" si="1"/>
        <v>1.3349725714285712</v>
      </c>
      <c r="J17" s="201">
        <f t="shared" si="1"/>
        <v>1.4833028571428568</v>
      </c>
      <c r="K17" s="201">
        <f t="shared" si="1"/>
        <v>1.6316331428571424</v>
      </c>
      <c r="L17" s="201">
        <f t="shared" si="1"/>
        <v>1.7799634285714283</v>
      </c>
      <c r="M17" s="202">
        <f t="shared" si="1"/>
        <v>1.9282937142857139</v>
      </c>
    </row>
    <row r="18" spans="1:13" ht="15.75" thickBot="1" x14ac:dyDescent="0.3">
      <c r="A18" s="16"/>
      <c r="B18" s="17"/>
      <c r="C18" s="18"/>
      <c r="D18" s="18"/>
      <c r="E18" s="193">
        <f>IF((E22-4*$C$12)&lt;0,0,(E22-4*$C$12))</f>
        <v>80</v>
      </c>
      <c r="F18" s="126">
        <f t="shared" si="2"/>
        <v>1.7520000000000024</v>
      </c>
      <c r="G18" s="201">
        <f t="shared" si="0"/>
        <v>0.88651200000000119</v>
      </c>
      <c r="H18" s="201">
        <f t="shared" si="1"/>
        <v>1.0131565714285728</v>
      </c>
      <c r="I18" s="201">
        <f t="shared" si="1"/>
        <v>1.1398011428571444</v>
      </c>
      <c r="J18" s="201">
        <f t="shared" si="1"/>
        <v>1.266445714285716</v>
      </c>
      <c r="K18" s="201">
        <f t="shared" si="1"/>
        <v>1.3930902857142877</v>
      </c>
      <c r="L18" s="201">
        <f t="shared" si="1"/>
        <v>1.5197348571428593</v>
      </c>
      <c r="M18" s="202">
        <f t="shared" si="1"/>
        <v>1.6463794285714308</v>
      </c>
    </row>
    <row r="19" spans="1:13" ht="15.75" thickBot="1" x14ac:dyDescent="0.3">
      <c r="A19" s="16"/>
      <c r="B19" s="47"/>
      <c r="C19" s="48"/>
      <c r="D19" s="49" t="s">
        <v>13</v>
      </c>
      <c r="E19" s="50">
        <f>'Data Entry'!F9</f>
        <v>90</v>
      </c>
      <c r="F19" s="192">
        <f t="shared" si="2"/>
        <v>1.4519999999999982</v>
      </c>
      <c r="G19" s="201">
        <f t="shared" si="0"/>
        <v>0.73471199999999903</v>
      </c>
      <c r="H19" s="201">
        <f t="shared" si="1"/>
        <v>0.83967085714285605</v>
      </c>
      <c r="I19" s="201">
        <f t="shared" si="1"/>
        <v>0.94462971428571307</v>
      </c>
      <c r="J19" s="201">
        <f t="shared" si="1"/>
        <v>1.0495885714285702</v>
      </c>
      <c r="K19" s="201">
        <f t="shared" si="1"/>
        <v>1.1545474285714272</v>
      </c>
      <c r="L19" s="201">
        <f t="shared" si="1"/>
        <v>1.259506285714284</v>
      </c>
      <c r="M19" s="202">
        <f t="shared" si="1"/>
        <v>1.364465142857141</v>
      </c>
    </row>
    <row r="20" spans="1:13" ht="15" x14ac:dyDescent="0.25">
      <c r="A20" s="16"/>
      <c r="B20" s="17"/>
      <c r="C20" s="18"/>
      <c r="D20" s="18"/>
      <c r="E20" s="194">
        <f>E19+C12</f>
        <v>100</v>
      </c>
      <c r="F20" s="126">
        <f t="shared" si="2"/>
        <v>1.152000000000001</v>
      </c>
      <c r="G20" s="201">
        <f t="shared" si="0"/>
        <v>0.58291200000000054</v>
      </c>
      <c r="H20" s="201">
        <f t="shared" si="1"/>
        <v>0.66618514285714348</v>
      </c>
      <c r="I20" s="201">
        <f t="shared" si="1"/>
        <v>0.74945828571428641</v>
      </c>
      <c r="J20" s="201">
        <f t="shared" si="1"/>
        <v>0.83273142857142934</v>
      </c>
      <c r="K20" s="201">
        <f t="shared" si="1"/>
        <v>0.91600457142857228</v>
      </c>
      <c r="L20" s="201">
        <f t="shared" si="1"/>
        <v>0.99927771428571521</v>
      </c>
      <c r="M20" s="202">
        <f t="shared" si="1"/>
        <v>1.0825508571428581</v>
      </c>
    </row>
    <row r="21" spans="1:13" ht="15" x14ac:dyDescent="0.25">
      <c r="A21" s="16"/>
      <c r="B21" s="17"/>
      <c r="C21" s="52"/>
      <c r="D21" s="18"/>
      <c r="E21" s="190">
        <f>E19+2*C12</f>
        <v>110</v>
      </c>
      <c r="F21" s="126">
        <f t="shared" si="2"/>
        <v>0.85199999999998965</v>
      </c>
      <c r="G21" s="201">
        <f t="shared" si="0"/>
        <v>0.43111199999999478</v>
      </c>
      <c r="H21" s="201">
        <f t="shared" si="1"/>
        <v>0.49269942857142257</v>
      </c>
      <c r="I21" s="201">
        <f t="shared" si="1"/>
        <v>0.55428685714285042</v>
      </c>
      <c r="J21" s="201">
        <f t="shared" si="1"/>
        <v>0.61587428571427827</v>
      </c>
      <c r="K21" s="201">
        <f t="shared" si="1"/>
        <v>0.67746171428570601</v>
      </c>
      <c r="L21" s="201">
        <f t="shared" si="1"/>
        <v>0.73904914285713386</v>
      </c>
      <c r="M21" s="202">
        <f t="shared" si="1"/>
        <v>0.80063657142856171</v>
      </c>
    </row>
    <row r="22" spans="1:13" ht="15" x14ac:dyDescent="0.25">
      <c r="A22" s="16"/>
      <c r="B22" s="17"/>
      <c r="C22" s="18"/>
      <c r="D22" s="18"/>
      <c r="E22" s="190">
        <f>E19+3*C12</f>
        <v>120</v>
      </c>
      <c r="F22" s="126">
        <f t="shared" si="2"/>
        <v>0.55200000000000671</v>
      </c>
      <c r="G22" s="201">
        <f t="shared" si="0"/>
        <v>0.27931200000000339</v>
      </c>
      <c r="H22" s="201">
        <f t="shared" si="1"/>
        <v>0.31921371428571815</v>
      </c>
      <c r="I22" s="201">
        <f t="shared" si="1"/>
        <v>0.35911542857143292</v>
      </c>
      <c r="J22" s="201">
        <f t="shared" si="1"/>
        <v>0.39901714285714768</v>
      </c>
      <c r="K22" s="201">
        <f t="shared" si="1"/>
        <v>0.4389188571428625</v>
      </c>
      <c r="L22" s="201">
        <f t="shared" si="1"/>
        <v>0.47882057142857726</v>
      </c>
      <c r="M22" s="202">
        <f t="shared" si="1"/>
        <v>0.51872228571429202</v>
      </c>
    </row>
    <row r="23" spans="1:13" ht="15" x14ac:dyDescent="0.25">
      <c r="A23" s="16"/>
      <c r="B23" s="17"/>
      <c r="C23" s="18"/>
      <c r="D23" s="18"/>
      <c r="E23" s="190">
        <f>E19+4*C12</f>
        <v>130</v>
      </c>
      <c r="F23" s="126">
        <f t="shared" si="2"/>
        <v>0.25200000000000244</v>
      </c>
      <c r="G23" s="201">
        <f t="shared" si="0"/>
        <v>0.12751200000000124</v>
      </c>
      <c r="H23" s="201">
        <f t="shared" si="1"/>
        <v>0.14572800000000141</v>
      </c>
      <c r="I23" s="201">
        <f t="shared" si="1"/>
        <v>0.16394400000000159</v>
      </c>
      <c r="J23" s="201">
        <f t="shared" si="1"/>
        <v>0.18216000000000176</v>
      </c>
      <c r="K23" s="201">
        <f t="shared" si="1"/>
        <v>0.20037600000000194</v>
      </c>
      <c r="L23" s="201">
        <f t="shared" si="1"/>
        <v>0.21859200000000212</v>
      </c>
      <c r="M23" s="202">
        <f t="shared" si="1"/>
        <v>0.23680800000000229</v>
      </c>
    </row>
    <row r="24" spans="1:13" ht="13.5" customHeight="1" x14ac:dyDescent="0.2">
      <c r="A24" s="16"/>
      <c r="B24" s="17"/>
      <c r="C24" s="18"/>
      <c r="D24" s="18"/>
      <c r="E24" s="78" t="s">
        <v>86</v>
      </c>
      <c r="F24" s="121"/>
      <c r="G24" s="121"/>
      <c r="H24" s="121"/>
      <c r="I24" s="12"/>
      <c r="J24" s="80"/>
      <c r="K24" s="195">
        <f>C12</f>
        <v>10</v>
      </c>
      <c r="L24" s="77" t="s">
        <v>30</v>
      </c>
      <c r="M24" s="122"/>
    </row>
    <row r="25" spans="1:13" ht="9.75" customHeight="1" x14ac:dyDescent="0.2">
      <c r="A25" s="16"/>
      <c r="B25" s="17"/>
      <c r="C25" s="18"/>
      <c r="D25" s="18"/>
      <c r="E25" s="78" t="s">
        <v>107</v>
      </c>
      <c r="F25" s="121"/>
      <c r="G25" s="121"/>
      <c r="H25" s="121"/>
      <c r="I25" s="12"/>
      <c r="J25" s="80"/>
      <c r="K25" s="80"/>
      <c r="L25" s="80"/>
      <c r="M25" s="122"/>
    </row>
    <row r="26" spans="1:13" ht="9.75" customHeight="1" x14ac:dyDescent="0.2">
      <c r="A26" s="16"/>
      <c r="B26" s="17"/>
      <c r="C26" s="18"/>
      <c r="D26" s="18"/>
      <c r="E26" s="200" t="s">
        <v>115</v>
      </c>
      <c r="F26" s="12"/>
      <c r="G26" s="121"/>
      <c r="H26" s="121"/>
      <c r="I26" s="121"/>
      <c r="J26" s="121"/>
      <c r="K26" s="121"/>
      <c r="L26" s="121"/>
      <c r="M26" s="122"/>
    </row>
    <row r="27" spans="1:13" ht="9.75" customHeight="1" thickBot="1" x14ac:dyDescent="0.25">
      <c r="A27" s="16"/>
      <c r="B27" s="17"/>
      <c r="C27" s="18"/>
      <c r="D27" s="18"/>
      <c r="E27" s="124"/>
      <c r="F27" s="123"/>
      <c r="G27" s="123"/>
      <c r="H27" s="123"/>
      <c r="I27" s="151"/>
      <c r="J27" s="119"/>
      <c r="K27" s="119"/>
      <c r="L27" s="119"/>
      <c r="M27" s="120"/>
    </row>
    <row r="28" spans="1:13" ht="11.25" customHeight="1" thickBot="1" x14ac:dyDescent="0.25">
      <c r="B28" s="252"/>
      <c r="C28" s="253"/>
      <c r="D28" s="253"/>
      <c r="E28" s="253"/>
      <c r="F28" s="253"/>
      <c r="G28" s="253"/>
      <c r="H28" s="253"/>
      <c r="I28" s="253"/>
      <c r="J28" s="55"/>
      <c r="K28" s="55"/>
      <c r="L28" s="55"/>
      <c r="M28" s="56"/>
    </row>
  </sheetData>
  <sheetProtection password="CE5A" sheet="1" objects="1" scenarios="1"/>
  <mergeCells count="10">
    <mergeCell ref="B28:I28"/>
    <mergeCell ref="B2:M2"/>
    <mergeCell ref="B3:M3"/>
    <mergeCell ref="B7:C7"/>
    <mergeCell ref="H8:L8"/>
    <mergeCell ref="G12:M12"/>
    <mergeCell ref="G13:M13"/>
    <mergeCell ref="K5:M5"/>
    <mergeCell ref="D5:F5"/>
    <mergeCell ref="G5:J5"/>
  </mergeCells>
  <phoneticPr fontId="15" type="noConversion"/>
  <conditionalFormatting sqref="G15:M23">
    <cfRule type="cellIs" dxfId="175" priority="1" stopIfTrue="1" operator="between">
      <formula>1.25</formula>
      <formula>1.5</formula>
    </cfRule>
  </conditionalFormatting>
  <hyperlinks>
    <hyperlink ref="G5" location="'Wheat (Moist) Fertilizer'!A1" display="Go to Fertilizer Price as a variable"/>
    <hyperlink ref="D5" location="'Wheat (Moist) Crop'!A1" display="Return to Wheat (Moist) as variable"/>
    <hyperlink ref="K5" location="'Data Entry'!A1" display="Return to Data Entry"/>
  </hyperlinks>
  <pageMargins left="0.75" right="0.75" top="1" bottom="1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showGridLines="0" workbookViewId="0">
      <selection activeCell="I22" sqref="I22"/>
    </sheetView>
  </sheetViews>
  <sheetFormatPr defaultRowHeight="12.75" x14ac:dyDescent="0.2"/>
  <cols>
    <col min="1" max="1" width="1.5703125" style="10" customWidth="1"/>
    <col min="2" max="2" width="17.140625" style="10" customWidth="1"/>
    <col min="3" max="3" width="9.140625" style="10"/>
    <col min="4" max="4" width="11.140625" style="10" customWidth="1"/>
    <col min="5" max="5" width="9.140625" style="10"/>
    <col min="6" max="6" width="10.28515625" style="10" customWidth="1"/>
    <col min="7" max="13" width="9.140625" style="10"/>
    <col min="14" max="14" width="28.42578125" style="10" customWidth="1"/>
    <col min="15" max="16384" width="9.140625" style="10"/>
  </cols>
  <sheetData>
    <row r="1" spans="1:14" ht="6" customHeight="1" thickBot="1" x14ac:dyDescent="0.25">
      <c r="B1" s="11"/>
      <c r="C1" s="11"/>
      <c r="D1" s="11"/>
      <c r="E1" s="11"/>
      <c r="F1" s="11"/>
      <c r="G1" s="11"/>
      <c r="H1" s="11"/>
      <c r="I1" s="11"/>
    </row>
    <row r="2" spans="1:14" ht="20.25" x14ac:dyDescent="0.3">
      <c r="A2" s="11"/>
      <c r="B2" s="234" t="s">
        <v>40</v>
      </c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6"/>
    </row>
    <row r="3" spans="1:14" ht="20.25" x14ac:dyDescent="0.3">
      <c r="A3" s="11"/>
      <c r="B3" s="237" t="s">
        <v>48</v>
      </c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9"/>
    </row>
    <row r="4" spans="1:14" ht="6.75" customHeight="1" x14ac:dyDescent="0.3">
      <c r="A4" s="11"/>
      <c r="B4" s="13"/>
      <c r="C4" s="14"/>
      <c r="D4" s="14"/>
      <c r="E4" s="14"/>
      <c r="F4" s="14"/>
      <c r="G4" s="14"/>
      <c r="H4" s="14"/>
      <c r="I4" s="14"/>
      <c r="J4" s="12"/>
      <c r="K4" s="12"/>
      <c r="L4" s="12"/>
      <c r="M4" s="15"/>
      <c r="N4" s="158"/>
    </row>
    <row r="5" spans="1:14" x14ac:dyDescent="0.2">
      <c r="B5" s="198"/>
      <c r="C5" s="199"/>
      <c r="D5" s="282" t="s">
        <v>77</v>
      </c>
      <c r="E5" s="283"/>
      <c r="F5" s="283"/>
      <c r="G5" s="282" t="s">
        <v>119</v>
      </c>
      <c r="H5" s="283"/>
      <c r="I5" s="283"/>
      <c r="J5" s="283"/>
      <c r="K5" s="245" t="s">
        <v>96</v>
      </c>
      <c r="L5" s="283"/>
      <c r="M5" s="285"/>
    </row>
    <row r="6" spans="1:14" ht="4.5" customHeight="1" thickBot="1" x14ac:dyDescent="0.25">
      <c r="A6" s="16"/>
      <c r="B6" s="17"/>
      <c r="C6" s="18"/>
      <c r="D6" s="18"/>
      <c r="E6" s="18"/>
      <c r="F6" s="18"/>
      <c r="G6" s="18"/>
      <c r="H6" s="18"/>
      <c r="I6" s="18"/>
      <c r="J6" s="12"/>
      <c r="K6" s="12"/>
      <c r="L6" s="12"/>
      <c r="M6" s="15"/>
      <c r="N6" s="158"/>
    </row>
    <row r="7" spans="1:14" ht="15.75" customHeight="1" thickBot="1" x14ac:dyDescent="0.3">
      <c r="A7" s="16"/>
      <c r="B7" s="240" t="s">
        <v>39</v>
      </c>
      <c r="C7" s="241"/>
      <c r="E7" s="18"/>
      <c r="F7" s="18"/>
      <c r="G7" s="18"/>
      <c r="H7" s="19"/>
      <c r="I7" s="18"/>
      <c r="J7" s="19"/>
      <c r="K7" s="12"/>
      <c r="L7" s="12"/>
      <c r="M7" s="15"/>
    </row>
    <row r="8" spans="1:14" ht="15" customHeight="1" x14ac:dyDescent="0.25">
      <c r="A8" s="16"/>
      <c r="B8" s="87" t="s">
        <v>1</v>
      </c>
      <c r="C8" s="21" t="str">
        <f>'Data Entry'!C7</f>
        <v>UREA</v>
      </c>
      <c r="D8" s="18"/>
      <c r="E8" s="22"/>
      <c r="F8" s="23"/>
      <c r="G8" s="23"/>
      <c r="H8" s="274" t="s">
        <v>17</v>
      </c>
      <c r="I8" s="275"/>
      <c r="J8" s="275"/>
      <c r="K8" s="275"/>
      <c r="L8" s="275"/>
      <c r="M8" s="24"/>
    </row>
    <row r="9" spans="1:14" ht="15" x14ac:dyDescent="0.2">
      <c r="A9" s="16"/>
      <c r="B9" s="20" t="s">
        <v>3</v>
      </c>
      <c r="C9" s="59">
        <f>'Data Entry'!C8</f>
        <v>700</v>
      </c>
      <c r="D9" s="18"/>
      <c r="E9" s="17"/>
      <c r="F9" s="18"/>
      <c r="G9" s="18"/>
      <c r="H9" s="19"/>
      <c r="I9" s="18"/>
      <c r="J9" s="19"/>
      <c r="K9" s="12"/>
      <c r="L9" s="12"/>
      <c r="M9" s="15"/>
    </row>
    <row r="10" spans="1:14" ht="15" x14ac:dyDescent="0.25">
      <c r="A10" s="16"/>
      <c r="B10" s="20" t="s">
        <v>4</v>
      </c>
      <c r="C10" s="25">
        <f>'Data Entry'!C9</f>
        <v>46</v>
      </c>
      <c r="D10" s="18"/>
      <c r="E10" s="17"/>
      <c r="F10" s="18"/>
      <c r="G10" s="26">
        <f>J10-C14*3</f>
        <v>3.5</v>
      </c>
      <c r="H10" s="26">
        <f>J10-C14*2</f>
        <v>4</v>
      </c>
      <c r="I10" s="26">
        <f>J10-C14</f>
        <v>4.5</v>
      </c>
      <c r="J10" s="27">
        <f>'Data Entry'!F14</f>
        <v>5</v>
      </c>
      <c r="K10" s="26">
        <f>J10+C14</f>
        <v>5.5</v>
      </c>
      <c r="L10" s="26">
        <f>J10+C14*2</f>
        <v>6</v>
      </c>
      <c r="M10" s="28">
        <f>J10+C14*3</f>
        <v>6.5</v>
      </c>
    </row>
    <row r="11" spans="1:14" ht="15" x14ac:dyDescent="0.25">
      <c r="A11" s="16"/>
      <c r="B11" s="20" t="s">
        <v>5</v>
      </c>
      <c r="C11" s="61">
        <f>(C9/((C10/100)*2200))</f>
        <v>0.69169960474308301</v>
      </c>
      <c r="D11" s="18"/>
      <c r="E11" s="17"/>
      <c r="F11" s="29"/>
      <c r="G11" s="18"/>
      <c r="H11" s="18"/>
      <c r="I11" s="18"/>
      <c r="J11" s="12"/>
      <c r="K11" s="12"/>
      <c r="L11" s="12"/>
      <c r="M11" s="15"/>
    </row>
    <row r="12" spans="1:14" ht="15" x14ac:dyDescent="0.25">
      <c r="A12" s="16"/>
      <c r="B12" s="30" t="s">
        <v>20</v>
      </c>
      <c r="C12" s="31">
        <f>'Data Entry'!C11</f>
        <v>10</v>
      </c>
      <c r="D12" s="18"/>
      <c r="E12" s="32"/>
      <c r="F12" s="29"/>
      <c r="G12" s="269" t="s">
        <v>111</v>
      </c>
      <c r="H12" s="269"/>
      <c r="I12" s="269"/>
      <c r="J12" s="269"/>
      <c r="K12" s="269"/>
      <c r="L12" s="269"/>
      <c r="M12" s="270"/>
    </row>
    <row r="13" spans="1:14" ht="15.75" thickBot="1" x14ac:dyDescent="0.3">
      <c r="A13" s="16"/>
      <c r="B13" s="33" t="s">
        <v>106</v>
      </c>
      <c r="C13" s="34"/>
      <c r="D13" s="18"/>
      <c r="E13" s="35" t="s">
        <v>9</v>
      </c>
      <c r="F13" s="36" t="s">
        <v>41</v>
      </c>
      <c r="G13" s="247" t="s">
        <v>42</v>
      </c>
      <c r="H13" s="247"/>
      <c r="I13" s="247"/>
      <c r="J13" s="247"/>
      <c r="K13" s="247"/>
      <c r="L13" s="247"/>
      <c r="M13" s="248"/>
    </row>
    <row r="14" spans="1:14" ht="15" x14ac:dyDescent="0.25">
      <c r="A14" s="16"/>
      <c r="B14" s="37" t="s">
        <v>108</v>
      </c>
      <c r="C14" s="57">
        <f>'Data Entry'!C13</f>
        <v>0.5</v>
      </c>
      <c r="D14" s="18"/>
      <c r="E14" s="39" t="s">
        <v>11</v>
      </c>
      <c r="F14" s="40" t="s">
        <v>12</v>
      </c>
      <c r="G14" s="41"/>
      <c r="H14" s="41"/>
      <c r="I14" s="41"/>
      <c r="J14" s="41"/>
      <c r="K14" s="41"/>
      <c r="L14" s="41"/>
      <c r="M14" s="112"/>
    </row>
    <row r="15" spans="1:14" ht="15" x14ac:dyDescent="0.25">
      <c r="A15" s="16"/>
      <c r="B15" s="43" t="s">
        <v>28</v>
      </c>
      <c r="C15" s="34"/>
      <c r="D15" s="18"/>
      <c r="E15" s="190">
        <f>IF((E19-4*$C$12)&lt;0,0,(E19-4*$C$12))</f>
        <v>30</v>
      </c>
      <c r="F15" s="126">
        <f>IF((((-0.0013*(E15+$C$16)^2 + 0.4159*(E15+$C$16))-(-0.0013*($C$16)^2 + 0.4159*($C$16)))-((-0.0013*((E15-$C$12)+$C$16)^2 + 0.4159*((E15-$C$12)+$C$16))-(-0.0013*($C$16)^2 + 0.4159*($C$16))))&lt;0,0,((-0.0013*(E15+$C$16)^2 +0.4159*(E15+$C$16))-(-0.0013*($C$16)^2 + 0.4159*($C$16)))-((-0.0013*((E15-$C$12)+$C$16)^2 + 0.4159*((E15-$C$12)+$C$16))-(-0.0013*($C$16)^2 + 0.4159*($C$16))))</f>
        <v>2.7290000000000028</v>
      </c>
      <c r="G15" s="201">
        <f t="shared" ref="G15:G23" si="0">($F15*G$10)/($C$12*$C$11)</f>
        <v>1.3808740000000015</v>
      </c>
      <c r="H15" s="201">
        <f t="shared" ref="H15:M23" si="1">($F15*H$10)/($C$12*$C$11)</f>
        <v>1.5781417142857159</v>
      </c>
      <c r="I15" s="201">
        <f t="shared" si="1"/>
        <v>1.7754094285714304</v>
      </c>
      <c r="J15" s="201">
        <f t="shared" si="1"/>
        <v>1.9726771428571448</v>
      </c>
      <c r="K15" s="201">
        <f t="shared" si="1"/>
        <v>2.1699448571428595</v>
      </c>
      <c r="L15" s="201">
        <f t="shared" si="1"/>
        <v>2.3672125714285737</v>
      </c>
      <c r="M15" s="202">
        <f t="shared" si="1"/>
        <v>2.5644802857142879</v>
      </c>
    </row>
    <row r="16" spans="1:14" ht="15" x14ac:dyDescent="0.25">
      <c r="A16" s="16"/>
      <c r="B16" s="37" t="s">
        <v>29</v>
      </c>
      <c r="C16" s="45">
        <f>'Data Entry'!C15</f>
        <v>30</v>
      </c>
      <c r="D16" s="18"/>
      <c r="E16" s="190">
        <f>IF((E20-4*$C$12)&lt;0,0,(E20-4*$C$12))</f>
        <v>40</v>
      </c>
      <c r="F16" s="126">
        <f>IF((((-0.0013*(E16+$C$16)^2 + 0.4159*(E16+$C$16))-(-0.0013*($C$16)^2 + 0.4159*($C$16)))-((-0.0013*(E15+$C$16)^2 + 0.4159*(E15+$C$16))-(-0.0013*($C$16)^2 + 0.4159*($C$16))))&lt;0,0,((-0.0013*(E16+$C$16)^2 +0.4159*(E16+$C$16))-(-0.0013*($C$16)^2 + 0.4159*($C$16)))-((-0.0013*(E15+$C$16)^2 + 0.4159*(E15+$C$16))-(-0.0013*($C$16)^2 + 0.4159*($C$16))))</f>
        <v>2.4689999999999976</v>
      </c>
      <c r="G16" s="201">
        <f t="shared" si="0"/>
        <v>1.2493139999999987</v>
      </c>
      <c r="H16" s="201">
        <f t="shared" si="1"/>
        <v>1.4277874285714272</v>
      </c>
      <c r="I16" s="201">
        <f t="shared" si="1"/>
        <v>1.6062608571428556</v>
      </c>
      <c r="J16" s="201">
        <f t="shared" si="1"/>
        <v>1.7847342857142841</v>
      </c>
      <c r="K16" s="201">
        <f t="shared" si="1"/>
        <v>1.9632077142857125</v>
      </c>
      <c r="L16" s="201">
        <f t="shared" si="1"/>
        <v>2.141681142857141</v>
      </c>
      <c r="M16" s="202">
        <f t="shared" si="1"/>
        <v>2.320154571428569</v>
      </c>
    </row>
    <row r="17" spans="1:13" ht="15" x14ac:dyDescent="0.25">
      <c r="A17" s="16"/>
      <c r="B17" s="43" t="s">
        <v>30</v>
      </c>
      <c r="C17" s="46"/>
      <c r="D17" s="18"/>
      <c r="E17" s="190">
        <f>IF((E21-4*$C$12)&lt;0,0,(E21-4*$C$12))</f>
        <v>50</v>
      </c>
      <c r="F17" s="126">
        <f t="shared" ref="F17:F23" si="2">IF((((-0.0013*(E17+$C$16)^2 + 0.4159*(E17+$C$16))-(-0.0013*($C$16)^2 + 0.4159*($C$16)))-((-0.0013*(E16+$C$16)^2 + 0.4159*(E16+$C$16))-(-0.0013*($C$16)^2 + 0.4159*($C$16))))&lt;0,0,((-0.0013*(E17+$C$16)^2 +0.4159*(E17+$C$16))-(-0.0013*($C$16)^2 + 0.4159*($C$16)))-((-0.0013*(E16+$C$16)^2 + 0.4159*(E16+$C$16))-(-0.0013*($C$16)^2 + 0.4159*($C$16))))</f>
        <v>2.2089999999999996</v>
      </c>
      <c r="G17" s="201">
        <f t="shared" si="0"/>
        <v>1.1177539999999999</v>
      </c>
      <c r="H17" s="201">
        <f t="shared" si="1"/>
        <v>1.2774331428571426</v>
      </c>
      <c r="I17" s="201">
        <f t="shared" si="1"/>
        <v>1.4371122857142855</v>
      </c>
      <c r="J17" s="201">
        <f t="shared" si="1"/>
        <v>1.5967914285714282</v>
      </c>
      <c r="K17" s="201">
        <f t="shared" si="1"/>
        <v>1.7564705714285711</v>
      </c>
      <c r="L17" s="201">
        <f t="shared" si="1"/>
        <v>1.916149714285714</v>
      </c>
      <c r="M17" s="202">
        <f t="shared" si="1"/>
        <v>2.0758288571428567</v>
      </c>
    </row>
    <row r="18" spans="1:13" ht="15.75" thickBot="1" x14ac:dyDescent="0.3">
      <c r="A18" s="16"/>
      <c r="B18" s="17"/>
      <c r="C18" s="18"/>
      <c r="D18" s="18"/>
      <c r="E18" s="193">
        <f>IF((E22-4*$C$12)&lt;0,0,(E22-4*$C$12))</f>
        <v>60</v>
      </c>
      <c r="F18" s="126">
        <f t="shared" si="2"/>
        <v>1.9489999999999981</v>
      </c>
      <c r="G18" s="201">
        <f t="shared" si="0"/>
        <v>0.98619399999999902</v>
      </c>
      <c r="H18" s="201">
        <f t="shared" si="1"/>
        <v>1.127078857142856</v>
      </c>
      <c r="I18" s="201">
        <f t="shared" si="1"/>
        <v>1.267963714285713</v>
      </c>
      <c r="J18" s="201">
        <f t="shared" si="1"/>
        <v>1.4088485714285701</v>
      </c>
      <c r="K18" s="201">
        <f t="shared" si="1"/>
        <v>1.549733428571427</v>
      </c>
      <c r="L18" s="201">
        <f t="shared" si="1"/>
        <v>1.690618285714284</v>
      </c>
      <c r="M18" s="202">
        <f t="shared" si="1"/>
        <v>1.8315031428571411</v>
      </c>
    </row>
    <row r="19" spans="1:13" ht="15.75" thickBot="1" x14ac:dyDescent="0.3">
      <c r="A19" s="16"/>
      <c r="B19" s="47"/>
      <c r="C19" s="48"/>
      <c r="D19" s="49" t="s">
        <v>13</v>
      </c>
      <c r="E19" s="50">
        <f>'Data Entry'!G9</f>
        <v>70</v>
      </c>
      <c r="F19" s="192">
        <f t="shared" si="2"/>
        <v>1.6889999999999983</v>
      </c>
      <c r="G19" s="201">
        <f t="shared" si="0"/>
        <v>0.85463399999999912</v>
      </c>
      <c r="H19" s="201">
        <f t="shared" si="1"/>
        <v>0.97672457142857039</v>
      </c>
      <c r="I19" s="201">
        <f t="shared" si="1"/>
        <v>1.0988151428571418</v>
      </c>
      <c r="J19" s="201">
        <f t="shared" si="1"/>
        <v>1.2209057142857129</v>
      </c>
      <c r="K19" s="201">
        <f t="shared" si="1"/>
        <v>1.3429962857142843</v>
      </c>
      <c r="L19" s="201">
        <f t="shared" si="1"/>
        <v>1.4650868571428557</v>
      </c>
      <c r="M19" s="202">
        <f t="shared" si="1"/>
        <v>1.5871774285714271</v>
      </c>
    </row>
    <row r="20" spans="1:13" ht="15" x14ac:dyDescent="0.25">
      <c r="A20" s="16"/>
      <c r="B20" s="17"/>
      <c r="C20" s="18"/>
      <c r="D20" s="18"/>
      <c r="E20" s="194">
        <f>E19+C12</f>
        <v>80</v>
      </c>
      <c r="F20" s="126">
        <f t="shared" si="2"/>
        <v>1.4290000000000092</v>
      </c>
      <c r="G20" s="201">
        <f t="shared" si="0"/>
        <v>0.72307400000000466</v>
      </c>
      <c r="H20" s="201">
        <f t="shared" si="1"/>
        <v>0.82637028571429105</v>
      </c>
      <c r="I20" s="201">
        <f t="shared" si="1"/>
        <v>0.92966657142857734</v>
      </c>
      <c r="J20" s="201">
        <f t="shared" si="1"/>
        <v>1.0329628571428637</v>
      </c>
      <c r="K20" s="201">
        <f t="shared" si="1"/>
        <v>1.13625914285715</v>
      </c>
      <c r="L20" s="201">
        <f t="shared" si="1"/>
        <v>1.2395554285714365</v>
      </c>
      <c r="M20" s="202">
        <f t="shared" si="1"/>
        <v>1.3428517142857228</v>
      </c>
    </row>
    <row r="21" spans="1:13" ht="15" x14ac:dyDescent="0.25">
      <c r="A21" s="16"/>
      <c r="B21" s="17"/>
      <c r="C21" s="52"/>
      <c r="D21" s="18"/>
      <c r="E21" s="190">
        <f>E19+2*C12</f>
        <v>90</v>
      </c>
      <c r="F21" s="126">
        <f t="shared" si="2"/>
        <v>1.1689999999999969</v>
      </c>
      <c r="G21" s="201">
        <f t="shared" si="0"/>
        <v>0.59151399999999843</v>
      </c>
      <c r="H21" s="201">
        <f t="shared" si="1"/>
        <v>0.67601599999999817</v>
      </c>
      <c r="I21" s="201">
        <f t="shared" si="1"/>
        <v>0.76051799999999803</v>
      </c>
      <c r="J21" s="201">
        <f t="shared" si="1"/>
        <v>0.84501999999999777</v>
      </c>
      <c r="K21" s="201">
        <f t="shared" si="1"/>
        <v>0.92952199999999752</v>
      </c>
      <c r="L21" s="201">
        <f t="shared" si="1"/>
        <v>1.0140239999999974</v>
      </c>
      <c r="M21" s="202">
        <f t="shared" si="1"/>
        <v>1.098525999999997</v>
      </c>
    </row>
    <row r="22" spans="1:13" ht="15" x14ac:dyDescent="0.25">
      <c r="A22" s="16"/>
      <c r="B22" s="17"/>
      <c r="C22" s="18"/>
      <c r="D22" s="18"/>
      <c r="E22" s="190">
        <f>E19+3*C12</f>
        <v>100</v>
      </c>
      <c r="F22" s="126">
        <f t="shared" si="2"/>
        <v>0.90899999999999892</v>
      </c>
      <c r="G22" s="201">
        <f t="shared" si="0"/>
        <v>0.45995399999999947</v>
      </c>
      <c r="H22" s="201">
        <f t="shared" si="1"/>
        <v>0.52566171428571362</v>
      </c>
      <c r="I22" s="201">
        <f t="shared" si="1"/>
        <v>0.59136942857142782</v>
      </c>
      <c r="J22" s="201">
        <f t="shared" si="1"/>
        <v>0.65707714285714203</v>
      </c>
      <c r="K22" s="201">
        <f t="shared" si="1"/>
        <v>0.72278485714285623</v>
      </c>
      <c r="L22" s="201">
        <f t="shared" si="1"/>
        <v>0.78849257142857043</v>
      </c>
      <c r="M22" s="202">
        <f t="shared" si="1"/>
        <v>0.85420028571428475</v>
      </c>
    </row>
    <row r="23" spans="1:13" ht="15" x14ac:dyDescent="0.25">
      <c r="A23" s="16"/>
      <c r="B23" s="17"/>
      <c r="C23" s="18"/>
      <c r="D23" s="18"/>
      <c r="E23" s="190">
        <f>E19+4*C12</f>
        <v>110</v>
      </c>
      <c r="F23" s="126">
        <f t="shared" si="2"/>
        <v>0.6489999999999938</v>
      </c>
      <c r="G23" s="201">
        <f t="shared" si="0"/>
        <v>0.32839399999999686</v>
      </c>
      <c r="H23" s="201">
        <f t="shared" si="1"/>
        <v>0.37530742857142496</v>
      </c>
      <c r="I23" s="201">
        <f t="shared" si="1"/>
        <v>0.42222085714285312</v>
      </c>
      <c r="J23" s="201">
        <f t="shared" si="1"/>
        <v>0.46913428571428123</v>
      </c>
      <c r="K23" s="201">
        <f t="shared" si="1"/>
        <v>0.51604771428570939</v>
      </c>
      <c r="L23" s="201">
        <f t="shared" si="1"/>
        <v>0.5629611428571375</v>
      </c>
      <c r="M23" s="202">
        <f t="shared" si="1"/>
        <v>0.6098745714285656</v>
      </c>
    </row>
    <row r="24" spans="1:13" ht="13.5" customHeight="1" x14ac:dyDescent="0.2">
      <c r="A24" s="16"/>
      <c r="B24" s="17"/>
      <c r="C24" s="18"/>
      <c r="D24" s="18"/>
      <c r="E24" s="78" t="s">
        <v>86</v>
      </c>
      <c r="F24" s="121"/>
      <c r="G24" s="121"/>
      <c r="H24" s="121"/>
      <c r="I24" s="12"/>
      <c r="J24" s="80"/>
      <c r="K24" s="195">
        <f>C12</f>
        <v>10</v>
      </c>
      <c r="L24" s="77" t="s">
        <v>30</v>
      </c>
      <c r="M24" s="122"/>
    </row>
    <row r="25" spans="1:13" ht="9.75" customHeight="1" x14ac:dyDescent="0.2">
      <c r="A25" s="16"/>
      <c r="B25" s="17"/>
      <c r="C25" s="18"/>
      <c r="D25" s="18"/>
      <c r="E25" s="78" t="s">
        <v>107</v>
      </c>
      <c r="F25" s="121"/>
      <c r="G25" s="121"/>
      <c r="H25" s="121"/>
      <c r="I25" s="12"/>
      <c r="J25" s="80"/>
      <c r="K25" s="80"/>
      <c r="L25" s="80"/>
      <c r="M25" s="122"/>
    </row>
    <row r="26" spans="1:13" ht="9.75" customHeight="1" x14ac:dyDescent="0.2">
      <c r="A26" s="16"/>
      <c r="B26" s="17"/>
      <c r="C26" s="18"/>
      <c r="D26" s="18"/>
      <c r="E26" s="200" t="s">
        <v>115</v>
      </c>
      <c r="F26" s="12"/>
      <c r="G26" s="121"/>
      <c r="H26" s="121"/>
      <c r="I26" s="121"/>
      <c r="J26" s="121"/>
      <c r="K26" s="121"/>
      <c r="L26" s="121"/>
      <c r="M26" s="122"/>
    </row>
    <row r="27" spans="1:13" ht="9.75" customHeight="1" thickBot="1" x14ac:dyDescent="0.25">
      <c r="A27" s="16"/>
      <c r="B27" s="17"/>
      <c r="C27" s="18"/>
      <c r="D27" s="18"/>
      <c r="E27" s="124"/>
      <c r="F27" s="123"/>
      <c r="G27" s="123"/>
      <c r="H27" s="123"/>
      <c r="I27" s="151"/>
      <c r="J27" s="119"/>
      <c r="K27" s="119"/>
      <c r="L27" s="119"/>
      <c r="M27" s="120"/>
    </row>
    <row r="28" spans="1:13" ht="11.25" customHeight="1" thickBot="1" x14ac:dyDescent="0.25">
      <c r="B28" s="252"/>
      <c r="C28" s="253"/>
      <c r="D28" s="253"/>
      <c r="E28" s="253"/>
      <c r="F28" s="253"/>
      <c r="G28" s="253"/>
      <c r="H28" s="253"/>
      <c r="I28" s="253"/>
      <c r="J28" s="55"/>
      <c r="K28" s="55"/>
      <c r="L28" s="55"/>
      <c r="M28" s="56"/>
    </row>
  </sheetData>
  <sheetProtection password="CE5A" sheet="1" objects="1" scenarios="1"/>
  <mergeCells count="10">
    <mergeCell ref="G12:M12"/>
    <mergeCell ref="G13:M13"/>
    <mergeCell ref="B28:I28"/>
    <mergeCell ref="B2:M2"/>
    <mergeCell ref="B3:M3"/>
    <mergeCell ref="B7:C7"/>
    <mergeCell ref="H8:L8"/>
    <mergeCell ref="G5:J5"/>
    <mergeCell ref="D5:F5"/>
    <mergeCell ref="K5:M5"/>
  </mergeCells>
  <phoneticPr fontId="15" type="noConversion"/>
  <conditionalFormatting sqref="G15:M23">
    <cfRule type="cellIs" dxfId="174" priority="1" stopIfTrue="1" operator="between">
      <formula>1.25</formula>
      <formula>1.5</formula>
    </cfRule>
  </conditionalFormatting>
  <hyperlinks>
    <hyperlink ref="D5" location="'Wheat (Dry) Crop'!A1" display="Return to Wheat (dry) as variable"/>
    <hyperlink ref="G5" location="'Wheat (Dry) Fertilizer'!A1" display="Go to Fertilizer Price as variable"/>
    <hyperlink ref="K5" location="'Data Entry'!A1" display="Return to Data Entry"/>
  </hyperlinks>
  <pageMargins left="0.75" right="0.75" top="1" bottom="1" header="0.5" footer="0.5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showGridLines="0" workbookViewId="0">
      <selection activeCell="F20" sqref="F20"/>
    </sheetView>
  </sheetViews>
  <sheetFormatPr defaultRowHeight="12.75" x14ac:dyDescent="0.2"/>
  <cols>
    <col min="1" max="1" width="1.5703125" style="10" customWidth="1"/>
    <col min="2" max="2" width="17.140625" style="10" customWidth="1"/>
    <col min="3" max="3" width="9.140625" style="10"/>
    <col min="4" max="4" width="11.140625" style="10" customWidth="1"/>
    <col min="5" max="5" width="9.140625" style="10"/>
    <col min="6" max="6" width="10.7109375" style="10" customWidth="1"/>
    <col min="7" max="13" width="9.140625" style="10"/>
    <col min="14" max="14" width="13.28515625" style="10" customWidth="1"/>
    <col min="15" max="16384" width="9.140625" style="10"/>
  </cols>
  <sheetData>
    <row r="1" spans="1:14" ht="6" customHeight="1" thickBot="1" x14ac:dyDescent="0.25">
      <c r="B1" s="11"/>
      <c r="C1" s="11"/>
      <c r="D1" s="11"/>
      <c r="E1" s="11"/>
      <c r="F1" s="11"/>
      <c r="G1" s="11"/>
      <c r="H1" s="11"/>
      <c r="I1" s="11"/>
    </row>
    <row r="2" spans="1:14" ht="20.25" x14ac:dyDescent="0.3">
      <c r="A2" s="11"/>
      <c r="B2" s="234" t="s">
        <v>40</v>
      </c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6"/>
    </row>
    <row r="3" spans="1:14" ht="20.25" x14ac:dyDescent="0.3">
      <c r="A3" s="11"/>
      <c r="B3" s="237" t="s">
        <v>49</v>
      </c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9"/>
    </row>
    <row r="4" spans="1:14" ht="6.75" customHeight="1" x14ac:dyDescent="0.3">
      <c r="A4" s="11"/>
      <c r="B4" s="13"/>
      <c r="C4" s="14"/>
      <c r="D4" s="14"/>
      <c r="E4" s="14"/>
      <c r="F4" s="14"/>
      <c r="G4" s="14"/>
      <c r="H4" s="14"/>
      <c r="I4" s="14"/>
      <c r="J4" s="12"/>
      <c r="K4" s="12"/>
      <c r="L4" s="12"/>
      <c r="M4" s="15"/>
      <c r="N4" s="158"/>
    </row>
    <row r="5" spans="1:14" x14ac:dyDescent="0.2">
      <c r="B5" s="198"/>
      <c r="C5" s="199"/>
      <c r="D5" s="282" t="s">
        <v>79</v>
      </c>
      <c r="E5" s="283"/>
      <c r="F5" s="283"/>
      <c r="G5" s="282" t="s">
        <v>119</v>
      </c>
      <c r="H5" s="283"/>
      <c r="I5" s="283"/>
      <c r="J5" s="283"/>
      <c r="K5" s="245" t="s">
        <v>96</v>
      </c>
      <c r="L5" s="283"/>
      <c r="M5" s="285"/>
    </row>
    <row r="6" spans="1:14" ht="4.5" customHeight="1" thickBot="1" x14ac:dyDescent="0.25">
      <c r="A6" s="16"/>
      <c r="B6" s="17"/>
      <c r="C6" s="18"/>
      <c r="D6" s="18"/>
      <c r="E6" s="18"/>
      <c r="F6" s="18"/>
      <c r="G6" s="18"/>
      <c r="H6" s="18"/>
      <c r="I6" s="18"/>
      <c r="J6" s="12"/>
      <c r="K6" s="12"/>
      <c r="L6" s="12"/>
      <c r="M6" s="15"/>
      <c r="N6" s="158"/>
    </row>
    <row r="7" spans="1:14" ht="15.75" customHeight="1" thickBot="1" x14ac:dyDescent="0.3">
      <c r="A7" s="16"/>
      <c r="B7" s="240" t="s">
        <v>39</v>
      </c>
      <c r="C7" s="241"/>
      <c r="E7" s="18"/>
      <c r="F7" s="18"/>
      <c r="G7" s="18"/>
      <c r="H7" s="19"/>
      <c r="I7" s="18"/>
      <c r="J7" s="19"/>
      <c r="K7" s="12"/>
      <c r="L7" s="12"/>
      <c r="M7" s="15"/>
    </row>
    <row r="8" spans="1:14" ht="15" customHeight="1" x14ac:dyDescent="0.25">
      <c r="A8" s="16"/>
      <c r="B8" s="87" t="s">
        <v>1</v>
      </c>
      <c r="C8" s="21" t="str">
        <f>'Data Entry'!C7</f>
        <v>UREA</v>
      </c>
      <c r="D8" s="18"/>
      <c r="E8" s="22"/>
      <c r="F8" s="23"/>
      <c r="G8" s="23"/>
      <c r="H8" s="274" t="s">
        <v>17</v>
      </c>
      <c r="I8" s="275"/>
      <c r="J8" s="275"/>
      <c r="K8" s="275"/>
      <c r="L8" s="275"/>
      <c r="M8" s="24"/>
    </row>
    <row r="9" spans="1:14" ht="15" x14ac:dyDescent="0.2">
      <c r="A9" s="16"/>
      <c r="B9" s="20" t="s">
        <v>3</v>
      </c>
      <c r="C9" s="59">
        <f>'Data Entry'!C8</f>
        <v>700</v>
      </c>
      <c r="D9" s="18"/>
      <c r="E9" s="17"/>
      <c r="F9" s="18"/>
      <c r="G9" s="18"/>
      <c r="H9" s="19"/>
      <c r="I9" s="18"/>
      <c r="J9" s="19"/>
      <c r="K9" s="12"/>
      <c r="L9" s="12"/>
      <c r="M9" s="15"/>
    </row>
    <row r="10" spans="1:14" ht="15" x14ac:dyDescent="0.25">
      <c r="A10" s="16"/>
      <c r="B10" s="20" t="s">
        <v>4</v>
      </c>
      <c r="C10" s="25">
        <f>'Data Entry'!C9</f>
        <v>46</v>
      </c>
      <c r="D10" s="18"/>
      <c r="E10" s="17"/>
      <c r="F10" s="18"/>
      <c r="G10" s="26">
        <f>J10-C14*3</f>
        <v>3.5</v>
      </c>
      <c r="H10" s="26">
        <f>J10-C14*2</f>
        <v>4</v>
      </c>
      <c r="I10" s="26">
        <f>J10-C14</f>
        <v>4.5</v>
      </c>
      <c r="J10" s="27">
        <f>'Data Entry'!F14</f>
        <v>5</v>
      </c>
      <c r="K10" s="26">
        <f>J10+C14</f>
        <v>5.5</v>
      </c>
      <c r="L10" s="26">
        <f>J10+C14*2</f>
        <v>6</v>
      </c>
      <c r="M10" s="28">
        <f>J10+C14*3</f>
        <v>6.5</v>
      </c>
    </row>
    <row r="11" spans="1:14" ht="15" x14ac:dyDescent="0.25">
      <c r="A11" s="16"/>
      <c r="B11" s="20" t="s">
        <v>5</v>
      </c>
      <c r="C11" s="61">
        <f>(C9/((C10/100)*2200))</f>
        <v>0.69169960474308301</v>
      </c>
      <c r="D11" s="18"/>
      <c r="E11" s="17"/>
      <c r="F11" s="29"/>
      <c r="G11" s="18"/>
      <c r="H11" s="18"/>
      <c r="I11" s="18"/>
      <c r="J11" s="12"/>
      <c r="K11" s="12"/>
      <c r="L11" s="12"/>
      <c r="M11" s="15"/>
    </row>
    <row r="12" spans="1:14" ht="15" x14ac:dyDescent="0.25">
      <c r="A12" s="16"/>
      <c r="B12" s="30" t="s">
        <v>20</v>
      </c>
      <c r="C12" s="31">
        <f>'Data Entry'!C11</f>
        <v>10</v>
      </c>
      <c r="D12" s="18"/>
      <c r="E12" s="32"/>
      <c r="F12" s="29"/>
      <c r="G12" s="269" t="s">
        <v>111</v>
      </c>
      <c r="H12" s="269"/>
      <c r="I12" s="269"/>
      <c r="J12" s="269"/>
      <c r="K12" s="269"/>
      <c r="L12" s="269"/>
      <c r="M12" s="270"/>
    </row>
    <row r="13" spans="1:14" ht="15.75" thickBot="1" x14ac:dyDescent="0.3">
      <c r="A13" s="16"/>
      <c r="B13" s="33" t="s">
        <v>106</v>
      </c>
      <c r="C13" s="34"/>
      <c r="D13" s="18"/>
      <c r="E13" s="35" t="s">
        <v>9</v>
      </c>
      <c r="F13" s="36" t="s">
        <v>41</v>
      </c>
      <c r="G13" s="247" t="s">
        <v>42</v>
      </c>
      <c r="H13" s="247"/>
      <c r="I13" s="247"/>
      <c r="J13" s="247"/>
      <c r="K13" s="247"/>
      <c r="L13" s="247"/>
      <c r="M13" s="248"/>
    </row>
    <row r="14" spans="1:14" ht="15" x14ac:dyDescent="0.25">
      <c r="A14" s="16"/>
      <c r="B14" s="37" t="s">
        <v>108</v>
      </c>
      <c r="C14" s="57">
        <f>'Data Entry'!C13</f>
        <v>0.5</v>
      </c>
      <c r="D14" s="18"/>
      <c r="E14" s="39" t="s">
        <v>11</v>
      </c>
      <c r="F14" s="40" t="s">
        <v>12</v>
      </c>
      <c r="G14" s="41"/>
      <c r="H14" s="41"/>
      <c r="I14" s="41"/>
      <c r="J14" s="41"/>
      <c r="K14" s="41"/>
      <c r="L14" s="41"/>
      <c r="M14" s="112"/>
    </row>
    <row r="15" spans="1:14" ht="15" x14ac:dyDescent="0.25">
      <c r="A15" s="16"/>
      <c r="B15" s="43" t="s">
        <v>28</v>
      </c>
      <c r="C15" s="34"/>
      <c r="D15" s="18"/>
      <c r="E15" s="190">
        <f>IF((E19-4*$C$12)&lt;0,0,(E19-4*$C$12))</f>
        <v>0</v>
      </c>
      <c r="F15" s="126">
        <f>IF((((-0.0038*(E15+$C$16)^2 + 0.5464*(E15+$C$16))-(-0.0038*($C$16)^2 + 0.5464*($C$16)))-((-0.0038*((E15-$C$12)+$C$16)^2 + 0.5464*((E15-$C$12)+$C$16))-(-0.0038*($C$16)^2 + 0.5464*($C$16))))&lt;0,0,((-0.0038*(E15+$C$16)^2 + 0.5464*(E15+$C$16))-(-0.0038*($C$16)^2 + 0.5464*($C$16)))-((-0.0038*((E15-$C$12)+$C$16)^2 + 0.5464*((E15-$C$12)+$C$16))-(-0.0038*($C$16)^2 + 0.5464*($C$16))))</f>
        <v>3.5639999999999983</v>
      </c>
      <c r="G15" s="201">
        <f t="shared" ref="G15:G23" si="0">($F15*G$10)/($C$12*$C$11)</f>
        <v>1.803383999999999</v>
      </c>
      <c r="H15" s="201">
        <f t="shared" ref="H15:M23" si="1">($F15*H$10)/($C$12*$C$11)</f>
        <v>2.0610102857142847</v>
      </c>
      <c r="I15" s="201">
        <f t="shared" si="1"/>
        <v>2.3186365714285704</v>
      </c>
      <c r="J15" s="201">
        <f t="shared" si="1"/>
        <v>2.5762628571428561</v>
      </c>
      <c r="K15" s="201">
        <f t="shared" si="1"/>
        <v>2.8338891428571413</v>
      </c>
      <c r="L15" s="201">
        <f t="shared" si="1"/>
        <v>3.091515428571427</v>
      </c>
      <c r="M15" s="202">
        <f t="shared" si="1"/>
        <v>3.3491417142857127</v>
      </c>
    </row>
    <row r="16" spans="1:14" ht="15" x14ac:dyDescent="0.25">
      <c r="A16" s="16"/>
      <c r="B16" s="37" t="s">
        <v>29</v>
      </c>
      <c r="C16" s="45">
        <f>'Data Entry'!C15</f>
        <v>30</v>
      </c>
      <c r="D16" s="18"/>
      <c r="E16" s="190">
        <f>IF((E20-4*$C$12)&lt;0,0,(E20-4*$C$12))</f>
        <v>10</v>
      </c>
      <c r="F16" s="126">
        <f>IF((((-0.0038*(E16+$C$16)^2 + 0.5464*(E16+$C$16))-(-0.0038*($C$16)^2 + 0.5464*($C$16)))-((-0.0038*(E15+$C$16)^2 + 0.5464*(E15+$C$16))-(-0.0038*($C$16)^2 + 0.5464*($C$16))))&lt;0,0,((-0.0038*(E16+$C$16)^2 + 0.5464*(E16+$C$16))-(-0.0038*($C$16)^2 + 0.5464*($C$16)))-((-0.0038*(E15+$C$16)^2 + 0.5464*(E15+$C$16))-(-0.0038*($C$16)^2 + 0.5464*($C$16))))</f>
        <v>2.804000000000002</v>
      </c>
      <c r="G16" s="201">
        <f t="shared" si="0"/>
        <v>1.418824000000001</v>
      </c>
      <c r="H16" s="201">
        <f t="shared" si="1"/>
        <v>1.6215131428571441</v>
      </c>
      <c r="I16" s="201">
        <f t="shared" si="1"/>
        <v>1.824202285714287</v>
      </c>
      <c r="J16" s="201">
        <f t="shared" si="1"/>
        <v>2.0268914285714299</v>
      </c>
      <c r="K16" s="201">
        <f t="shared" si="1"/>
        <v>2.2295805714285732</v>
      </c>
      <c r="L16" s="201">
        <f t="shared" si="1"/>
        <v>2.4322697142857161</v>
      </c>
      <c r="M16" s="202">
        <f t="shared" si="1"/>
        <v>2.634958857142859</v>
      </c>
    </row>
    <row r="17" spans="1:13" ht="15" x14ac:dyDescent="0.25">
      <c r="A17" s="16"/>
      <c r="B17" s="43" t="s">
        <v>30</v>
      </c>
      <c r="C17" s="46"/>
      <c r="D17" s="18"/>
      <c r="E17" s="190">
        <f>IF((E21-4*$C$12)&lt;0,0,(E21-4*$C$12))</f>
        <v>20</v>
      </c>
      <c r="F17" s="126">
        <f t="shared" ref="F17:F23" si="2">IF((((-0.0038*(E17+$C$16)^2 + 0.5464*(E17+$C$16))-(-0.0038*($C$16)^2 + 0.5464*($C$16)))-((-0.0038*(E16+$C$16)^2 + 0.5464*(E16+$C$16))-(-0.0038*($C$16)^2 + 0.5464*($C$16))))&lt;0,0,((-0.0038*(E17+$C$16)^2 + 0.5464*(E17+$C$16))-(-0.0038*($C$16)^2 + 0.5464*($C$16)))-((-0.0038*(E16+$C$16)^2 + 0.5464*(E16+$C$16))-(-0.0038*($C$16)^2 + 0.5464*($C$16))))</f>
        <v>2.0439999999999987</v>
      </c>
      <c r="G17" s="201">
        <f t="shared" si="0"/>
        <v>1.0342639999999994</v>
      </c>
      <c r="H17" s="201">
        <f t="shared" si="1"/>
        <v>1.1820159999999993</v>
      </c>
      <c r="I17" s="201">
        <f t="shared" si="1"/>
        <v>1.329767999999999</v>
      </c>
      <c r="J17" s="201">
        <f t="shared" si="1"/>
        <v>1.4775199999999991</v>
      </c>
      <c r="K17" s="201">
        <f t="shared" si="1"/>
        <v>1.6252719999999992</v>
      </c>
      <c r="L17" s="201">
        <f t="shared" si="1"/>
        <v>1.7730239999999988</v>
      </c>
      <c r="M17" s="202">
        <f t="shared" si="1"/>
        <v>1.9207759999999987</v>
      </c>
    </row>
    <row r="18" spans="1:13" ht="15.75" thickBot="1" x14ac:dyDescent="0.3">
      <c r="A18" s="16"/>
      <c r="B18" s="17"/>
      <c r="C18" s="18"/>
      <c r="D18" s="18"/>
      <c r="E18" s="193">
        <f>IF((E22-4*$C$12)&lt;0,0,(E22-4*$C$12))</f>
        <v>30</v>
      </c>
      <c r="F18" s="126">
        <f t="shared" si="2"/>
        <v>1.2839999999999989</v>
      </c>
      <c r="G18" s="201">
        <f t="shared" si="0"/>
        <v>0.6497039999999995</v>
      </c>
      <c r="H18" s="201">
        <f t="shared" si="1"/>
        <v>0.74251885714285648</v>
      </c>
      <c r="I18" s="201">
        <f t="shared" si="1"/>
        <v>0.83533371428571357</v>
      </c>
      <c r="J18" s="201">
        <f t="shared" si="1"/>
        <v>0.92814857142857066</v>
      </c>
      <c r="K18" s="201">
        <f t="shared" si="1"/>
        <v>1.0209634285714277</v>
      </c>
      <c r="L18" s="201">
        <f t="shared" si="1"/>
        <v>1.1137782857142848</v>
      </c>
      <c r="M18" s="202">
        <f t="shared" si="1"/>
        <v>1.2065931428571419</v>
      </c>
    </row>
    <row r="19" spans="1:13" ht="15.75" thickBot="1" x14ac:dyDescent="0.3">
      <c r="A19" s="16"/>
      <c r="B19" s="47"/>
      <c r="C19" s="48"/>
      <c r="D19" s="49" t="s">
        <v>13</v>
      </c>
      <c r="E19" s="50">
        <f>'Data Entry'!H9</f>
        <v>40</v>
      </c>
      <c r="F19" s="192">
        <f t="shared" si="2"/>
        <v>0.52399999999999736</v>
      </c>
      <c r="G19" s="201">
        <f t="shared" si="0"/>
        <v>0.26514399999999866</v>
      </c>
      <c r="H19" s="201">
        <f t="shared" si="1"/>
        <v>0.30302171428571273</v>
      </c>
      <c r="I19" s="201">
        <f t="shared" si="1"/>
        <v>0.34089942857142685</v>
      </c>
      <c r="J19" s="201">
        <f t="shared" si="1"/>
        <v>0.37877714285714092</v>
      </c>
      <c r="K19" s="201">
        <f t="shared" si="1"/>
        <v>0.41665485714285505</v>
      </c>
      <c r="L19" s="201">
        <f t="shared" si="1"/>
        <v>0.45453257142856912</v>
      </c>
      <c r="M19" s="202">
        <f t="shared" si="1"/>
        <v>0.49241028571428325</v>
      </c>
    </row>
    <row r="20" spans="1:13" ht="15" x14ac:dyDescent="0.25">
      <c r="A20" s="16"/>
      <c r="B20" s="17"/>
      <c r="C20" s="18"/>
      <c r="D20" s="18"/>
      <c r="E20" s="194">
        <f>E19+C12</f>
        <v>50</v>
      </c>
      <c r="F20" s="126">
        <f t="shared" si="2"/>
        <v>0</v>
      </c>
      <c r="G20" s="201">
        <f t="shared" si="0"/>
        <v>0</v>
      </c>
      <c r="H20" s="201">
        <f t="shared" si="1"/>
        <v>0</v>
      </c>
      <c r="I20" s="201">
        <f t="shared" si="1"/>
        <v>0</v>
      </c>
      <c r="J20" s="201">
        <f t="shared" si="1"/>
        <v>0</v>
      </c>
      <c r="K20" s="201">
        <f t="shared" si="1"/>
        <v>0</v>
      </c>
      <c r="L20" s="201">
        <f t="shared" si="1"/>
        <v>0</v>
      </c>
      <c r="M20" s="202">
        <f t="shared" si="1"/>
        <v>0</v>
      </c>
    </row>
    <row r="21" spans="1:13" ht="15" x14ac:dyDescent="0.25">
      <c r="A21" s="16"/>
      <c r="B21" s="17"/>
      <c r="C21" s="52"/>
      <c r="D21" s="18"/>
      <c r="E21" s="190">
        <f>E19+2*C12</f>
        <v>60</v>
      </c>
      <c r="F21" s="126">
        <f t="shared" si="2"/>
        <v>0</v>
      </c>
      <c r="G21" s="201">
        <f t="shared" si="0"/>
        <v>0</v>
      </c>
      <c r="H21" s="201">
        <f t="shared" si="1"/>
        <v>0</v>
      </c>
      <c r="I21" s="201">
        <f t="shared" si="1"/>
        <v>0</v>
      </c>
      <c r="J21" s="201">
        <f t="shared" si="1"/>
        <v>0</v>
      </c>
      <c r="K21" s="201">
        <f t="shared" si="1"/>
        <v>0</v>
      </c>
      <c r="L21" s="201">
        <f t="shared" si="1"/>
        <v>0</v>
      </c>
      <c r="M21" s="202">
        <f t="shared" si="1"/>
        <v>0</v>
      </c>
    </row>
    <row r="22" spans="1:13" ht="15" x14ac:dyDescent="0.25">
      <c r="A22" s="16"/>
      <c r="B22" s="17"/>
      <c r="C22" s="18"/>
      <c r="D22" s="18"/>
      <c r="E22" s="190">
        <f>E19+3*C12</f>
        <v>70</v>
      </c>
      <c r="F22" s="126">
        <f t="shared" si="2"/>
        <v>0</v>
      </c>
      <c r="G22" s="201">
        <f t="shared" si="0"/>
        <v>0</v>
      </c>
      <c r="H22" s="201">
        <f t="shared" si="1"/>
        <v>0</v>
      </c>
      <c r="I22" s="201">
        <f t="shared" si="1"/>
        <v>0</v>
      </c>
      <c r="J22" s="201">
        <f t="shared" si="1"/>
        <v>0</v>
      </c>
      <c r="K22" s="201">
        <f t="shared" si="1"/>
        <v>0</v>
      </c>
      <c r="L22" s="201">
        <f t="shared" si="1"/>
        <v>0</v>
      </c>
      <c r="M22" s="202">
        <f t="shared" si="1"/>
        <v>0</v>
      </c>
    </row>
    <row r="23" spans="1:13" ht="15" x14ac:dyDescent="0.25">
      <c r="A23" s="16"/>
      <c r="B23" s="17"/>
      <c r="C23" s="18"/>
      <c r="D23" s="18"/>
      <c r="E23" s="190">
        <f>E19+4*C12</f>
        <v>80</v>
      </c>
      <c r="F23" s="126">
        <f t="shared" si="2"/>
        <v>0</v>
      </c>
      <c r="G23" s="201">
        <f t="shared" si="0"/>
        <v>0</v>
      </c>
      <c r="H23" s="201">
        <f t="shared" si="1"/>
        <v>0</v>
      </c>
      <c r="I23" s="201">
        <f t="shared" si="1"/>
        <v>0</v>
      </c>
      <c r="J23" s="201">
        <f t="shared" si="1"/>
        <v>0</v>
      </c>
      <c r="K23" s="201">
        <f t="shared" si="1"/>
        <v>0</v>
      </c>
      <c r="L23" s="201">
        <f t="shared" si="1"/>
        <v>0</v>
      </c>
      <c r="M23" s="202">
        <f t="shared" si="1"/>
        <v>0</v>
      </c>
    </row>
    <row r="24" spans="1:13" ht="13.5" customHeight="1" x14ac:dyDescent="0.2">
      <c r="A24" s="16"/>
      <c r="B24" s="17"/>
      <c r="C24" s="18"/>
      <c r="D24" s="18"/>
      <c r="E24" s="78" t="s">
        <v>86</v>
      </c>
      <c r="F24" s="121"/>
      <c r="G24" s="121"/>
      <c r="H24" s="121"/>
      <c r="I24" s="12"/>
      <c r="J24" s="80"/>
      <c r="K24" s="195">
        <f>C12</f>
        <v>10</v>
      </c>
      <c r="L24" s="77" t="s">
        <v>30</v>
      </c>
      <c r="M24" s="122"/>
    </row>
    <row r="25" spans="1:13" ht="9.75" customHeight="1" x14ac:dyDescent="0.2">
      <c r="A25" s="16"/>
      <c r="B25" s="17"/>
      <c r="C25" s="18"/>
      <c r="D25" s="18"/>
      <c r="E25" s="78" t="s">
        <v>107</v>
      </c>
      <c r="F25" s="121"/>
      <c r="G25" s="121"/>
      <c r="H25" s="121"/>
      <c r="I25" s="12"/>
      <c r="J25" s="80"/>
      <c r="K25" s="80"/>
      <c r="L25" s="80"/>
      <c r="M25" s="122"/>
    </row>
    <row r="26" spans="1:13" ht="9.75" customHeight="1" x14ac:dyDescent="0.2">
      <c r="A26" s="16"/>
      <c r="B26" s="17"/>
      <c r="C26" s="18"/>
      <c r="D26" s="18"/>
      <c r="E26" s="200" t="s">
        <v>115</v>
      </c>
      <c r="F26" s="12"/>
      <c r="G26" s="121"/>
      <c r="H26" s="121"/>
      <c r="I26" s="121"/>
      <c r="J26" s="121"/>
      <c r="K26" s="121"/>
      <c r="L26" s="121"/>
      <c r="M26" s="122"/>
    </row>
    <row r="27" spans="1:13" ht="9.75" customHeight="1" thickBot="1" x14ac:dyDescent="0.25">
      <c r="A27" s="16"/>
      <c r="B27" s="17"/>
      <c r="C27" s="18"/>
      <c r="D27" s="18"/>
      <c r="E27" s="124"/>
      <c r="F27" s="123"/>
      <c r="G27" s="123"/>
      <c r="H27" s="123"/>
      <c r="I27" s="151"/>
      <c r="J27" s="119"/>
      <c r="K27" s="119"/>
      <c r="L27" s="119"/>
      <c r="M27" s="120"/>
    </row>
    <row r="28" spans="1:13" ht="11.25" customHeight="1" thickBot="1" x14ac:dyDescent="0.25">
      <c r="B28" s="252"/>
      <c r="C28" s="253"/>
      <c r="D28" s="253"/>
      <c r="E28" s="253"/>
      <c r="F28" s="253"/>
      <c r="G28" s="253"/>
      <c r="H28" s="253"/>
      <c r="I28" s="253"/>
      <c r="J28" s="55"/>
      <c r="K28" s="55"/>
      <c r="L28" s="55"/>
      <c r="M28" s="56"/>
    </row>
  </sheetData>
  <sheetProtection password="CE5A" sheet="1" objects="1" scenarios="1"/>
  <mergeCells count="10">
    <mergeCell ref="B28:I28"/>
    <mergeCell ref="B2:M2"/>
    <mergeCell ref="B3:M3"/>
    <mergeCell ref="B7:C7"/>
    <mergeCell ref="H8:L8"/>
    <mergeCell ref="G12:M12"/>
    <mergeCell ref="G13:M13"/>
    <mergeCell ref="G5:J5"/>
    <mergeCell ref="D5:F5"/>
    <mergeCell ref="K5:M5"/>
  </mergeCells>
  <phoneticPr fontId="15" type="noConversion"/>
  <conditionalFormatting sqref="G15:M23">
    <cfRule type="cellIs" dxfId="173" priority="1" stopIfTrue="1" operator="between">
      <formula>1.25</formula>
      <formula>1.5</formula>
    </cfRule>
  </conditionalFormatting>
  <hyperlinks>
    <hyperlink ref="D5" location="'Wheat (Arid) Crop'!A1" display="Return to Wheat (Arid) as variable"/>
    <hyperlink ref="G5" location="'Wheat (Arid) Fertilizer'!A1" display="Go to Fertilizer Price as variable"/>
    <hyperlink ref="K5" location="'Data Entry'!A1" display="Return to Data Entry"/>
  </hyperlinks>
  <pageMargins left="0.75" right="0.75" top="1" bottom="1" header="0.5" footer="0.5"/>
  <pageSetup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showGridLines="0" workbookViewId="0">
      <selection activeCell="I21" sqref="I21"/>
    </sheetView>
  </sheetViews>
  <sheetFormatPr defaultRowHeight="12.75" x14ac:dyDescent="0.2"/>
  <cols>
    <col min="1" max="1" width="1.5703125" style="10" customWidth="1"/>
    <col min="2" max="2" width="17.28515625" style="10" customWidth="1"/>
    <col min="3" max="3" width="9.28515625" style="10" bestFit="1" customWidth="1"/>
    <col min="4" max="4" width="9.140625" style="10"/>
    <col min="5" max="5" width="9.28515625" style="10" bestFit="1" customWidth="1"/>
    <col min="6" max="6" width="14.5703125" style="10" customWidth="1"/>
    <col min="7" max="10" width="9.28515625" style="10" bestFit="1" customWidth="1"/>
    <col min="11" max="12" width="9.42578125" style="10" bestFit="1" customWidth="1"/>
    <col min="13" max="13" width="9.140625" style="10"/>
    <col min="14" max="14" width="14.85546875" style="10" customWidth="1"/>
    <col min="15" max="16384" width="9.140625" style="10"/>
  </cols>
  <sheetData>
    <row r="1" spans="1:14" ht="6" customHeight="1" thickBot="1" x14ac:dyDescent="0.25">
      <c r="B1" s="11"/>
      <c r="C1" s="11"/>
      <c r="D1" s="11"/>
      <c r="E1" s="11"/>
      <c r="F1" s="11"/>
      <c r="G1" s="11"/>
      <c r="H1" s="11"/>
      <c r="I1" s="11"/>
    </row>
    <row r="2" spans="1:14" ht="20.25" x14ac:dyDescent="0.3">
      <c r="A2" s="11"/>
      <c r="B2" s="234" t="s">
        <v>40</v>
      </c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6"/>
    </row>
    <row r="3" spans="1:14" ht="19.5" customHeight="1" x14ac:dyDescent="0.3">
      <c r="A3" s="11"/>
      <c r="B3" s="237" t="s">
        <v>47</v>
      </c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9"/>
    </row>
    <row r="4" spans="1:14" ht="6.75" customHeight="1" x14ac:dyDescent="0.3">
      <c r="A4" s="11"/>
      <c r="B4" s="13"/>
      <c r="C4" s="14"/>
      <c r="D4" s="14"/>
      <c r="E4" s="14"/>
      <c r="F4" s="14"/>
      <c r="G4" s="14"/>
      <c r="H4" s="14"/>
      <c r="I4" s="14"/>
      <c r="J4" s="12"/>
      <c r="K4" s="12"/>
      <c r="L4" s="12"/>
      <c r="M4" s="15"/>
      <c r="N4" s="158"/>
    </row>
    <row r="5" spans="1:14" x14ac:dyDescent="0.2">
      <c r="B5" s="198"/>
      <c r="C5" s="199"/>
      <c r="D5" s="282" t="s">
        <v>81</v>
      </c>
      <c r="E5" s="283"/>
      <c r="F5" s="283"/>
      <c r="G5" s="282" t="s">
        <v>119</v>
      </c>
      <c r="H5" s="283"/>
      <c r="I5" s="283"/>
      <c r="J5" s="283"/>
      <c r="K5" s="245" t="s">
        <v>96</v>
      </c>
      <c r="L5" s="283"/>
      <c r="M5" s="285"/>
    </row>
    <row r="6" spans="1:14" ht="4.5" customHeight="1" thickBot="1" x14ac:dyDescent="0.25">
      <c r="A6" s="16"/>
      <c r="B6" s="17"/>
      <c r="C6" s="18"/>
      <c r="D6" s="18"/>
      <c r="E6" s="18"/>
      <c r="F6" s="18"/>
      <c r="G6" s="18"/>
      <c r="H6" s="18"/>
      <c r="I6" s="18"/>
      <c r="J6" s="12"/>
      <c r="K6" s="12"/>
      <c r="L6" s="12"/>
      <c r="M6" s="15"/>
      <c r="N6" s="158"/>
    </row>
    <row r="7" spans="1:14" ht="15.75" customHeight="1" thickBot="1" x14ac:dyDescent="0.3">
      <c r="A7" s="16"/>
      <c r="B7" s="240" t="s">
        <v>39</v>
      </c>
      <c r="C7" s="241"/>
      <c r="D7" s="18"/>
      <c r="E7" s="18"/>
      <c r="F7" s="18"/>
      <c r="G7" s="18"/>
      <c r="H7" s="19"/>
      <c r="I7" s="18"/>
      <c r="J7" s="19"/>
      <c r="K7" s="12"/>
      <c r="L7" s="12"/>
      <c r="M7" s="15"/>
    </row>
    <row r="8" spans="1:14" ht="15" customHeight="1" x14ac:dyDescent="0.25">
      <c r="A8" s="16"/>
      <c r="B8" s="87" t="s">
        <v>1</v>
      </c>
      <c r="C8" s="21" t="str">
        <f>'Data Entry'!C7</f>
        <v>UREA</v>
      </c>
      <c r="D8" s="18"/>
      <c r="E8" s="22"/>
      <c r="F8" s="23"/>
      <c r="G8" s="23"/>
      <c r="H8" s="274" t="s">
        <v>22</v>
      </c>
      <c r="I8" s="275"/>
      <c r="J8" s="275"/>
      <c r="K8" s="275"/>
      <c r="L8" s="275"/>
      <c r="M8" s="24"/>
    </row>
    <row r="9" spans="1:14" ht="15" x14ac:dyDescent="0.2">
      <c r="A9" s="16"/>
      <c r="B9" s="20" t="s">
        <v>3</v>
      </c>
      <c r="C9" s="59">
        <f>'Data Entry'!C8</f>
        <v>700</v>
      </c>
      <c r="D9" s="18"/>
      <c r="E9" s="17"/>
      <c r="F9" s="18"/>
      <c r="G9" s="18"/>
      <c r="H9" s="19"/>
      <c r="I9" s="18"/>
      <c r="J9" s="19"/>
      <c r="K9" s="12"/>
      <c r="L9" s="12"/>
      <c r="M9" s="15"/>
    </row>
    <row r="10" spans="1:14" ht="15" x14ac:dyDescent="0.25">
      <c r="A10" s="16"/>
      <c r="B10" s="20" t="s">
        <v>4</v>
      </c>
      <c r="C10" s="25">
        <f>'Data Entry'!C9</f>
        <v>46</v>
      </c>
      <c r="D10" s="18"/>
      <c r="E10" s="17"/>
      <c r="F10" s="18"/>
      <c r="G10" s="26">
        <f>J10-C14*3</f>
        <v>1</v>
      </c>
      <c r="H10" s="26">
        <f>J10-C14*2</f>
        <v>1.5</v>
      </c>
      <c r="I10" s="26">
        <f>J10-C14</f>
        <v>2</v>
      </c>
      <c r="J10" s="27">
        <f>'Data Entry'!F15</f>
        <v>2.5</v>
      </c>
      <c r="K10" s="26">
        <f>J10+C14</f>
        <v>3</v>
      </c>
      <c r="L10" s="26">
        <f>J10+C14*2</f>
        <v>3.5</v>
      </c>
      <c r="M10" s="28">
        <f>J10+C14*3</f>
        <v>4</v>
      </c>
    </row>
    <row r="11" spans="1:14" ht="15" x14ac:dyDescent="0.25">
      <c r="A11" s="16"/>
      <c r="B11" s="20" t="s">
        <v>5</v>
      </c>
      <c r="C11" s="61">
        <f>(C9/((C10/100)*2200))</f>
        <v>0.69169960474308301</v>
      </c>
      <c r="D11" s="18"/>
      <c r="E11" s="17"/>
      <c r="G11" s="18"/>
      <c r="H11" s="18"/>
      <c r="I11" s="18"/>
      <c r="J11" s="12"/>
      <c r="K11" s="12"/>
      <c r="L11" s="12"/>
      <c r="M11" s="15"/>
    </row>
    <row r="12" spans="1:14" ht="15" x14ac:dyDescent="0.25">
      <c r="A12" s="16"/>
      <c r="B12" s="30" t="s">
        <v>20</v>
      </c>
      <c r="C12" s="31">
        <f>'Data Entry'!C11</f>
        <v>10</v>
      </c>
      <c r="D12" s="18"/>
      <c r="E12" s="32"/>
      <c r="F12" s="29"/>
      <c r="G12" s="269" t="s">
        <v>111</v>
      </c>
      <c r="H12" s="269"/>
      <c r="I12" s="269"/>
      <c r="J12" s="269"/>
      <c r="K12" s="269"/>
      <c r="L12" s="269"/>
      <c r="M12" s="270"/>
    </row>
    <row r="13" spans="1:14" ht="15.75" thickBot="1" x14ac:dyDescent="0.3">
      <c r="A13" s="16"/>
      <c r="B13" s="33" t="s">
        <v>106</v>
      </c>
      <c r="C13" s="34"/>
      <c r="D13" s="18"/>
      <c r="E13" s="35" t="s">
        <v>9</v>
      </c>
      <c r="F13" s="29" t="s">
        <v>41</v>
      </c>
      <c r="G13" s="247" t="s">
        <v>42</v>
      </c>
      <c r="H13" s="247"/>
      <c r="I13" s="247"/>
      <c r="J13" s="247"/>
      <c r="K13" s="247"/>
      <c r="L13" s="247"/>
      <c r="M13" s="248"/>
    </row>
    <row r="14" spans="1:14" ht="15" x14ac:dyDescent="0.25">
      <c r="A14" s="16"/>
      <c r="B14" s="37" t="s">
        <v>108</v>
      </c>
      <c r="C14" s="38">
        <f>'Data Entry'!C13</f>
        <v>0.5</v>
      </c>
      <c r="D14" s="18"/>
      <c r="E14" s="39" t="s">
        <v>11</v>
      </c>
      <c r="F14" s="125" t="s">
        <v>12</v>
      </c>
      <c r="G14" s="41"/>
      <c r="H14" s="41"/>
      <c r="I14" s="41"/>
      <c r="J14" s="41"/>
      <c r="K14" s="41"/>
      <c r="L14" s="41"/>
      <c r="M14" s="112"/>
    </row>
    <row r="15" spans="1:14" ht="15" x14ac:dyDescent="0.25">
      <c r="A15" s="16"/>
      <c r="B15" s="43" t="s">
        <v>28</v>
      </c>
      <c r="C15" s="34"/>
      <c r="D15" s="18"/>
      <c r="E15" s="44">
        <f>IF((E19-4*$C$12)&lt;0,0,(E19-4*$C$12))</f>
        <v>50</v>
      </c>
      <c r="F15" s="126">
        <f>IF((((-0.0037*(E15+$C$16)^2 +1.152*(E15+$C$16))-(-0.0037*($C$16)^2 + 1.152*($C$16)))-((-0.0037*((E15-$C$12)+$C$16)^2 +1.152*((E15-$C$12)+$C$16))-(-0.0037*($C$16)^2 + 1.152*($C$16))))&lt;0,0,(((-0.0037*(E15+$C$16)^2 +1.152*(E15+$C$16))-(-0.0037*($C$16)^2 + 1.152*($C$16)))-((-0.0037*((E15-$C$12)+$C$16)^2 +1.152*((E15-$C$12)+$C$16))-(-0.0037*($C$16)^2 + 1.152*($C$16)))))</f>
        <v>5.9699999999999918</v>
      </c>
      <c r="G15" s="201">
        <f t="shared" ref="G15:G23" si="0">($F15*G$10)/($C$12*$C$11)</f>
        <v>0.8630914285714274</v>
      </c>
      <c r="H15" s="201">
        <f t="shared" ref="H15:M23" si="1">($F15*H$10)/($C$12*$C$11)</f>
        <v>1.294637142857141</v>
      </c>
      <c r="I15" s="201">
        <f t="shared" si="1"/>
        <v>1.7261828571428548</v>
      </c>
      <c r="J15" s="201">
        <f t="shared" si="1"/>
        <v>2.1577285714285686</v>
      </c>
      <c r="K15" s="201">
        <f t="shared" si="1"/>
        <v>2.5892742857142821</v>
      </c>
      <c r="L15" s="201">
        <f t="shared" si="1"/>
        <v>3.0208199999999956</v>
      </c>
      <c r="M15" s="202">
        <f t="shared" si="1"/>
        <v>3.4523657142857096</v>
      </c>
    </row>
    <row r="16" spans="1:14" ht="15" x14ac:dyDescent="0.25">
      <c r="A16" s="16"/>
      <c r="B16" s="37" t="s">
        <v>29</v>
      </c>
      <c r="C16" s="45">
        <f>'Data Entry'!C15</f>
        <v>30</v>
      </c>
      <c r="D16" s="18"/>
      <c r="E16" s="44">
        <f>IF((E20-4*$C$12)&lt;0,0,(E20-4*$C$12))</f>
        <v>60</v>
      </c>
      <c r="F16" s="126">
        <f>IF((((-0.0037*(E16+$C$16)^2 +1.152*(E16+$C$16))-(-0.0037*($C$16)^2 + 1.152*($C$16)))-((-0.0037*(E16+$C$16)^2 +1.152*(E16+$C$16))-(-0.0037*($C$16)^2 + 1.152*($C$16))))&lt;0,0,(((-0.0037*(E16+$C$16)^2 +1.152*(E16+$C$16))-(-0.0037*($C$16)^2 + 1.152*($C$16)))-((-0.0037*(E15+$C$16)^2 +1.152*(E15+$C$16))-(-0.0037*($C$16)^2 + 1.152*($C$16)))))</f>
        <v>5.230000000000004</v>
      </c>
      <c r="G16" s="201">
        <f t="shared" si="0"/>
        <v>0.75610857142857202</v>
      </c>
      <c r="H16" s="201">
        <f t="shared" si="1"/>
        <v>1.1341628571428579</v>
      </c>
      <c r="I16" s="201">
        <f t="shared" si="1"/>
        <v>1.512217142857144</v>
      </c>
      <c r="J16" s="201">
        <f t="shared" si="1"/>
        <v>1.8902714285714299</v>
      </c>
      <c r="K16" s="201">
        <f t="shared" si="1"/>
        <v>2.2683257142857158</v>
      </c>
      <c r="L16" s="201">
        <f t="shared" si="1"/>
        <v>2.646380000000002</v>
      </c>
      <c r="M16" s="202">
        <f t="shared" si="1"/>
        <v>3.0244342857142881</v>
      </c>
    </row>
    <row r="17" spans="1:13" ht="15" x14ac:dyDescent="0.25">
      <c r="A17" s="16"/>
      <c r="B17" s="43" t="s">
        <v>30</v>
      </c>
      <c r="C17" s="46"/>
      <c r="D17" s="18"/>
      <c r="E17" s="44">
        <f>IF((E21-4*$C$12)&lt;0,0,(E21-4*$C$12))</f>
        <v>70</v>
      </c>
      <c r="F17" s="126">
        <f t="shared" ref="F17:F23" si="2">IF((((-0.0037*(E17+$C$16)^2 +1.152*(E17+$C$16))-(-0.0037*($C$16)^2 + 1.152*($C$16)))-((-0.0037*(E17+$C$16)^2 +1.152*(E17+$C$16))-(-0.0037*($C$16)^2 + 1.152*($C$16))))&lt;0,0,(((-0.0037*(E17+$C$16)^2 +1.152*(E17+$C$16))-(-0.0037*($C$16)^2 + 1.152*($C$16)))-((-0.0037*(E16+$C$16)^2 +1.152*(E16+$C$16))-(-0.0037*($C$16)^2 + 1.152*($C$16)))))</f>
        <v>4.4899999999999949</v>
      </c>
      <c r="G17" s="201">
        <f t="shared" si="0"/>
        <v>0.64912571428571353</v>
      </c>
      <c r="H17" s="201">
        <f t="shared" si="1"/>
        <v>0.97368857142857035</v>
      </c>
      <c r="I17" s="201">
        <f t="shared" si="1"/>
        <v>1.2982514285714271</v>
      </c>
      <c r="J17" s="201">
        <f t="shared" si="1"/>
        <v>1.6228142857142838</v>
      </c>
      <c r="K17" s="201">
        <f t="shared" si="1"/>
        <v>1.9473771428571407</v>
      </c>
      <c r="L17" s="201">
        <f t="shared" si="1"/>
        <v>2.2719399999999972</v>
      </c>
      <c r="M17" s="202">
        <f t="shared" si="1"/>
        <v>2.5965028571428541</v>
      </c>
    </row>
    <row r="18" spans="1:13" ht="15.75" thickBot="1" x14ac:dyDescent="0.3">
      <c r="A18" s="16"/>
      <c r="B18" s="17"/>
      <c r="C18" s="18"/>
      <c r="D18" s="18"/>
      <c r="E18" s="44">
        <f>IF((E22-4*$C$12)&lt;0,0,(E22-4*$C$12))</f>
        <v>80</v>
      </c>
      <c r="F18" s="126">
        <f t="shared" si="2"/>
        <v>3.75</v>
      </c>
      <c r="G18" s="201">
        <f t="shared" si="0"/>
        <v>0.54214285714285715</v>
      </c>
      <c r="H18" s="201">
        <f t="shared" si="1"/>
        <v>0.81321428571428567</v>
      </c>
      <c r="I18" s="201">
        <f t="shared" si="1"/>
        <v>1.0842857142857143</v>
      </c>
      <c r="J18" s="201">
        <f t="shared" si="1"/>
        <v>1.3553571428571429</v>
      </c>
      <c r="K18" s="201">
        <f t="shared" si="1"/>
        <v>1.6264285714285713</v>
      </c>
      <c r="L18" s="201">
        <f t="shared" si="1"/>
        <v>1.8975</v>
      </c>
      <c r="M18" s="202">
        <f t="shared" si="1"/>
        <v>2.1685714285714286</v>
      </c>
    </row>
    <row r="19" spans="1:13" ht="15.75" thickBot="1" x14ac:dyDescent="0.3">
      <c r="A19" s="16"/>
      <c r="B19" s="54"/>
      <c r="C19" s="48"/>
      <c r="D19" s="49" t="s">
        <v>13</v>
      </c>
      <c r="E19" s="50">
        <f>'Data Entry'!F10</f>
        <v>90</v>
      </c>
      <c r="F19" s="192">
        <f t="shared" si="2"/>
        <v>3.0099999999999909</v>
      </c>
      <c r="G19" s="201">
        <f t="shared" si="0"/>
        <v>0.43515999999999866</v>
      </c>
      <c r="H19" s="201">
        <f t="shared" si="1"/>
        <v>0.65273999999999799</v>
      </c>
      <c r="I19" s="201">
        <f t="shared" si="1"/>
        <v>0.87031999999999732</v>
      </c>
      <c r="J19" s="201">
        <f t="shared" si="1"/>
        <v>1.0878999999999968</v>
      </c>
      <c r="K19" s="201">
        <f t="shared" si="1"/>
        <v>1.305479999999996</v>
      </c>
      <c r="L19" s="201">
        <f t="shared" si="1"/>
        <v>1.5230599999999954</v>
      </c>
      <c r="M19" s="202">
        <f t="shared" si="1"/>
        <v>1.7406399999999946</v>
      </c>
    </row>
    <row r="20" spans="1:13" ht="15" x14ac:dyDescent="0.25">
      <c r="A20" s="16"/>
      <c r="B20" s="17"/>
      <c r="C20" s="18"/>
      <c r="D20" s="18"/>
      <c r="E20" s="51">
        <f>E19+C12</f>
        <v>100</v>
      </c>
      <c r="F20" s="126">
        <f t="shared" si="2"/>
        <v>2.2700000000000102</v>
      </c>
      <c r="G20" s="201">
        <f t="shared" si="0"/>
        <v>0.32817714285714433</v>
      </c>
      <c r="H20" s="201">
        <f t="shared" si="1"/>
        <v>0.49226571428571653</v>
      </c>
      <c r="I20" s="201">
        <f t="shared" si="1"/>
        <v>0.65635428571428867</v>
      </c>
      <c r="J20" s="201">
        <f t="shared" si="1"/>
        <v>0.8204428571428608</v>
      </c>
      <c r="K20" s="201">
        <f t="shared" si="1"/>
        <v>0.98453142857143305</v>
      </c>
      <c r="L20" s="201">
        <f t="shared" si="1"/>
        <v>1.1486200000000051</v>
      </c>
      <c r="M20" s="202">
        <f t="shared" si="1"/>
        <v>1.3127085714285773</v>
      </c>
    </row>
    <row r="21" spans="1:13" ht="15" x14ac:dyDescent="0.25">
      <c r="A21" s="16"/>
      <c r="B21" s="17"/>
      <c r="C21" s="18"/>
      <c r="D21" s="18"/>
      <c r="E21" s="51">
        <f>E19+2*C12</f>
        <v>110</v>
      </c>
      <c r="F21" s="126">
        <f t="shared" si="2"/>
        <v>1.5300000000000011</v>
      </c>
      <c r="G21" s="201">
        <f t="shared" si="0"/>
        <v>0.22119428571428587</v>
      </c>
      <c r="H21" s="201">
        <f t="shared" si="1"/>
        <v>0.33179142857142879</v>
      </c>
      <c r="I21" s="201">
        <f t="shared" si="1"/>
        <v>0.44238857142857174</v>
      </c>
      <c r="J21" s="201">
        <f t="shared" si="1"/>
        <v>0.55298571428571475</v>
      </c>
      <c r="K21" s="201">
        <f t="shared" si="1"/>
        <v>0.66358285714285759</v>
      </c>
      <c r="L21" s="201">
        <f t="shared" si="1"/>
        <v>0.77418000000000053</v>
      </c>
      <c r="M21" s="202">
        <f t="shared" si="1"/>
        <v>0.88477714285714348</v>
      </c>
    </row>
    <row r="22" spans="1:13" ht="15" x14ac:dyDescent="0.25">
      <c r="A22" s="16"/>
      <c r="B22" s="17"/>
      <c r="C22" s="18"/>
      <c r="D22" s="18"/>
      <c r="E22" s="51">
        <f>E19+3*C12</f>
        <v>120</v>
      </c>
      <c r="F22" s="126">
        <f t="shared" si="2"/>
        <v>0.78999999999999204</v>
      </c>
      <c r="G22" s="201">
        <f t="shared" si="0"/>
        <v>0.11421142857142742</v>
      </c>
      <c r="H22" s="201">
        <f t="shared" si="1"/>
        <v>0.17131714285714114</v>
      </c>
      <c r="I22" s="201">
        <f t="shared" si="1"/>
        <v>0.22842285714285485</v>
      </c>
      <c r="J22" s="201">
        <f t="shared" si="1"/>
        <v>0.28552857142856858</v>
      </c>
      <c r="K22" s="201">
        <f t="shared" si="1"/>
        <v>0.34263428571428228</v>
      </c>
      <c r="L22" s="201">
        <f t="shared" si="1"/>
        <v>0.39973999999999599</v>
      </c>
      <c r="M22" s="202">
        <f t="shared" si="1"/>
        <v>0.45684571428570969</v>
      </c>
    </row>
    <row r="23" spans="1:13" ht="15" x14ac:dyDescent="0.25">
      <c r="A23" s="16"/>
      <c r="B23" s="17"/>
      <c r="C23" s="18"/>
      <c r="D23" s="18"/>
      <c r="E23" s="190">
        <f>E19+4*C12</f>
        <v>130</v>
      </c>
      <c r="F23" s="126">
        <f t="shared" si="2"/>
        <v>5.0000000000011369E-2</v>
      </c>
      <c r="G23" s="201">
        <f t="shared" si="0"/>
        <v>7.2285714285730725E-3</v>
      </c>
      <c r="H23" s="201">
        <f t="shared" si="1"/>
        <v>1.0842857142859609E-2</v>
      </c>
      <c r="I23" s="201">
        <f t="shared" si="1"/>
        <v>1.4457142857146145E-2</v>
      </c>
      <c r="J23" s="201">
        <f t="shared" si="1"/>
        <v>1.8071428571432679E-2</v>
      </c>
      <c r="K23" s="201">
        <f t="shared" si="1"/>
        <v>2.1685714285719217E-2</v>
      </c>
      <c r="L23" s="201">
        <f t="shared" si="1"/>
        <v>2.5300000000005752E-2</v>
      </c>
      <c r="M23" s="202">
        <f t="shared" si="1"/>
        <v>2.891428571429229E-2</v>
      </c>
    </row>
    <row r="24" spans="1:13" ht="13.5" customHeight="1" x14ac:dyDescent="0.2">
      <c r="A24" s="16"/>
      <c r="B24" s="17"/>
      <c r="C24" s="18"/>
      <c r="D24" s="18"/>
      <c r="E24" s="78" t="s">
        <v>86</v>
      </c>
      <c r="F24" s="121"/>
      <c r="G24" s="121"/>
      <c r="H24" s="121"/>
      <c r="I24" s="12"/>
      <c r="J24" s="80"/>
      <c r="K24" s="195">
        <f>C12</f>
        <v>10</v>
      </c>
      <c r="L24" s="77" t="s">
        <v>30</v>
      </c>
      <c r="M24" s="122"/>
    </row>
    <row r="25" spans="1:13" ht="9.75" customHeight="1" x14ac:dyDescent="0.2">
      <c r="A25" s="16"/>
      <c r="B25" s="17"/>
      <c r="C25" s="18"/>
      <c r="D25" s="18"/>
      <c r="E25" s="78" t="s">
        <v>107</v>
      </c>
      <c r="F25" s="121"/>
      <c r="G25" s="121"/>
      <c r="H25" s="121"/>
      <c r="I25" s="12"/>
      <c r="J25" s="80"/>
      <c r="K25" s="80"/>
      <c r="L25" s="80"/>
      <c r="M25" s="122"/>
    </row>
    <row r="26" spans="1:13" ht="9.75" customHeight="1" x14ac:dyDescent="0.2">
      <c r="A26" s="16"/>
      <c r="B26" s="17"/>
      <c r="C26" s="18"/>
      <c r="D26" s="18"/>
      <c r="E26" s="200" t="s">
        <v>115</v>
      </c>
      <c r="F26" s="12"/>
      <c r="G26" s="121"/>
      <c r="H26" s="121"/>
      <c r="I26" s="121"/>
      <c r="J26" s="121"/>
      <c r="K26" s="121"/>
      <c r="L26" s="121"/>
      <c r="M26" s="122"/>
    </row>
    <row r="27" spans="1:13" ht="9.75" customHeight="1" thickBot="1" x14ac:dyDescent="0.25">
      <c r="A27" s="16"/>
      <c r="B27" s="17"/>
      <c r="C27" s="18"/>
      <c r="D27" s="18"/>
      <c r="E27" s="124"/>
      <c r="F27" s="123"/>
      <c r="G27" s="123"/>
      <c r="H27" s="123"/>
      <c r="I27" s="151"/>
      <c r="J27" s="119"/>
      <c r="K27" s="119"/>
      <c r="L27" s="119"/>
      <c r="M27" s="120"/>
    </row>
    <row r="28" spans="1:13" ht="11.25" customHeight="1" thickBot="1" x14ac:dyDescent="0.25">
      <c r="B28" s="252"/>
      <c r="C28" s="253"/>
      <c r="D28" s="253"/>
      <c r="E28" s="253"/>
      <c r="F28" s="253"/>
      <c r="G28" s="253"/>
      <c r="H28" s="253"/>
      <c r="I28" s="253"/>
      <c r="J28" s="55"/>
      <c r="K28" s="55"/>
      <c r="L28" s="55"/>
      <c r="M28" s="56"/>
    </row>
    <row r="34" spans="3:3" x14ac:dyDescent="0.2">
      <c r="C34" s="138"/>
    </row>
  </sheetData>
  <sheetProtection password="CE5A" sheet="1" objects="1" scenarios="1"/>
  <mergeCells count="10">
    <mergeCell ref="G12:M12"/>
    <mergeCell ref="G13:M13"/>
    <mergeCell ref="B28:I28"/>
    <mergeCell ref="B2:M2"/>
    <mergeCell ref="B3:M3"/>
    <mergeCell ref="B7:C7"/>
    <mergeCell ref="H8:L8"/>
    <mergeCell ref="G5:J5"/>
    <mergeCell ref="D5:F5"/>
    <mergeCell ref="K5:M5"/>
  </mergeCells>
  <phoneticPr fontId="15" type="noConversion"/>
  <conditionalFormatting sqref="G15:M23">
    <cfRule type="cellIs" dxfId="172" priority="1" stopIfTrue="1" operator="between">
      <formula>1.25</formula>
      <formula>1.5</formula>
    </cfRule>
  </conditionalFormatting>
  <hyperlinks>
    <hyperlink ref="D5" location="'Barley (Moist) Crop'!A1" display="Return to Barley (Moist ) as variable"/>
    <hyperlink ref="G5" location="'Barley (Moist) Fertilizer'!A1" display="Go to Fertilizer Price as variable"/>
    <hyperlink ref="K5" location="'Data Entry'!A1" display="Return to Data Entry"/>
  </hyperlinks>
  <pageMargins left="0.75" right="0.75" top="1" bottom="1" header="0.5" footer="0.5"/>
  <pageSetup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showGridLines="0" workbookViewId="0">
      <selection activeCell="H21" sqref="H21"/>
    </sheetView>
  </sheetViews>
  <sheetFormatPr defaultRowHeight="12.75" x14ac:dyDescent="0.2"/>
  <cols>
    <col min="1" max="1" width="1.5703125" style="10" customWidth="1"/>
    <col min="2" max="2" width="17.28515625" style="10" customWidth="1"/>
    <col min="3" max="5" width="9.140625" style="10"/>
    <col min="6" max="6" width="14.42578125" style="10" customWidth="1"/>
    <col min="7" max="13" width="9.140625" style="10"/>
    <col min="14" max="14" width="13.85546875" style="10" customWidth="1"/>
    <col min="15" max="16384" width="9.140625" style="10"/>
  </cols>
  <sheetData>
    <row r="1" spans="1:14" ht="6" customHeight="1" thickBot="1" x14ac:dyDescent="0.25">
      <c r="B1" s="11"/>
      <c r="C1" s="11"/>
      <c r="D1" s="11"/>
      <c r="E1" s="11"/>
      <c r="F1" s="11"/>
      <c r="G1" s="11"/>
      <c r="H1" s="11"/>
      <c r="I1" s="11"/>
    </row>
    <row r="2" spans="1:14" ht="20.25" x14ac:dyDescent="0.3">
      <c r="A2" s="11"/>
      <c r="B2" s="234" t="s">
        <v>40</v>
      </c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6"/>
    </row>
    <row r="3" spans="1:14" ht="20.25" x14ac:dyDescent="0.3">
      <c r="A3" s="11"/>
      <c r="B3" s="237" t="s">
        <v>48</v>
      </c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9"/>
    </row>
    <row r="4" spans="1:14" ht="6.75" customHeight="1" x14ac:dyDescent="0.3">
      <c r="A4" s="11"/>
      <c r="B4" s="13"/>
      <c r="C4" s="14"/>
      <c r="D4" s="14"/>
      <c r="E4" s="14"/>
      <c r="F4" s="14"/>
      <c r="G4" s="14"/>
      <c r="H4" s="14"/>
      <c r="I4" s="14"/>
      <c r="J4" s="12"/>
      <c r="K4" s="12"/>
      <c r="L4" s="12"/>
      <c r="M4" s="15"/>
      <c r="N4" s="158"/>
    </row>
    <row r="5" spans="1:14" x14ac:dyDescent="0.2">
      <c r="B5" s="198"/>
      <c r="C5" s="199"/>
      <c r="D5" s="282" t="s">
        <v>83</v>
      </c>
      <c r="E5" s="283"/>
      <c r="F5" s="283"/>
      <c r="G5" s="282" t="s">
        <v>119</v>
      </c>
      <c r="H5" s="283"/>
      <c r="I5" s="283"/>
      <c r="J5" s="283"/>
      <c r="K5" s="245" t="s">
        <v>96</v>
      </c>
      <c r="L5" s="283"/>
      <c r="M5" s="285"/>
    </row>
    <row r="6" spans="1:14" ht="4.5" customHeight="1" thickBot="1" x14ac:dyDescent="0.25">
      <c r="A6" s="16"/>
      <c r="B6" s="17"/>
      <c r="C6" s="18"/>
      <c r="D6" s="18"/>
      <c r="E6" s="18"/>
      <c r="F6" s="18"/>
      <c r="G6" s="18"/>
      <c r="H6" s="18"/>
      <c r="I6" s="18"/>
      <c r="J6" s="12"/>
      <c r="K6" s="12"/>
      <c r="L6" s="12"/>
      <c r="M6" s="15"/>
      <c r="N6" s="158"/>
    </row>
    <row r="7" spans="1:14" ht="15.75" customHeight="1" thickBot="1" x14ac:dyDescent="0.3">
      <c r="A7" s="16"/>
      <c r="B7" s="240" t="s">
        <v>39</v>
      </c>
      <c r="C7" s="241"/>
      <c r="D7" s="18"/>
      <c r="E7" s="18"/>
      <c r="F7" s="18"/>
      <c r="G7" s="18"/>
      <c r="H7" s="19"/>
      <c r="I7" s="18"/>
      <c r="J7" s="19"/>
      <c r="K7" s="12"/>
      <c r="L7" s="12"/>
      <c r="M7" s="15"/>
    </row>
    <row r="8" spans="1:14" ht="15" customHeight="1" x14ac:dyDescent="0.25">
      <c r="A8" s="16"/>
      <c r="B8" s="87" t="s">
        <v>1</v>
      </c>
      <c r="C8" s="21" t="str">
        <f>'Data Entry'!C7</f>
        <v>UREA</v>
      </c>
      <c r="D8" s="18"/>
      <c r="E8" s="22"/>
      <c r="F8" s="23"/>
      <c r="G8" s="23"/>
      <c r="H8" s="274" t="s">
        <v>22</v>
      </c>
      <c r="I8" s="275"/>
      <c r="J8" s="275"/>
      <c r="K8" s="275"/>
      <c r="L8" s="275"/>
      <c r="M8" s="24"/>
    </row>
    <row r="9" spans="1:14" ht="15" x14ac:dyDescent="0.2">
      <c r="A9" s="16"/>
      <c r="B9" s="20" t="s">
        <v>3</v>
      </c>
      <c r="C9" s="59">
        <f>'Data Entry'!C8</f>
        <v>700</v>
      </c>
      <c r="D9" s="18"/>
      <c r="E9" s="17"/>
      <c r="F9" s="18"/>
      <c r="G9" s="18"/>
      <c r="H9" s="19"/>
      <c r="I9" s="18"/>
      <c r="J9" s="19"/>
      <c r="K9" s="12"/>
      <c r="L9" s="12"/>
      <c r="M9" s="15"/>
    </row>
    <row r="10" spans="1:14" ht="15" x14ac:dyDescent="0.25">
      <c r="A10" s="16"/>
      <c r="B10" s="20" t="s">
        <v>4</v>
      </c>
      <c r="C10" s="25">
        <f>'Data Entry'!C9</f>
        <v>46</v>
      </c>
      <c r="D10" s="18"/>
      <c r="E10" s="17"/>
      <c r="F10" s="18"/>
      <c r="G10" s="26">
        <f>J10-C14*3</f>
        <v>1</v>
      </c>
      <c r="H10" s="26">
        <f>J10-C14*2</f>
        <v>1.5</v>
      </c>
      <c r="I10" s="26">
        <f>J10-C14</f>
        <v>2</v>
      </c>
      <c r="J10" s="27">
        <f>'Data Entry'!F15</f>
        <v>2.5</v>
      </c>
      <c r="K10" s="26">
        <f>J10+C14</f>
        <v>3</v>
      </c>
      <c r="L10" s="26">
        <f>J10+C14*2</f>
        <v>3.5</v>
      </c>
      <c r="M10" s="28">
        <f>J10+C14*3</f>
        <v>4</v>
      </c>
    </row>
    <row r="11" spans="1:14" ht="15" x14ac:dyDescent="0.25">
      <c r="A11" s="16"/>
      <c r="B11" s="20" t="s">
        <v>5</v>
      </c>
      <c r="C11" s="61">
        <f>(C9/((C10/100)*2200))</f>
        <v>0.69169960474308301</v>
      </c>
      <c r="D11" s="18"/>
      <c r="E11" s="17"/>
      <c r="F11" s="29"/>
      <c r="G11" s="18"/>
      <c r="H11" s="18"/>
      <c r="I11" s="18"/>
      <c r="J11" s="12"/>
      <c r="K11" s="12"/>
      <c r="L11" s="12"/>
      <c r="M11" s="15"/>
    </row>
    <row r="12" spans="1:14" ht="15" x14ac:dyDescent="0.25">
      <c r="A12" s="16"/>
      <c r="B12" s="30" t="s">
        <v>20</v>
      </c>
      <c r="C12" s="31">
        <f>'Data Entry'!C11</f>
        <v>10</v>
      </c>
      <c r="D12" s="18"/>
      <c r="E12" s="32"/>
      <c r="F12" s="29"/>
      <c r="G12" s="269" t="s">
        <v>111</v>
      </c>
      <c r="H12" s="269"/>
      <c r="I12" s="269"/>
      <c r="J12" s="269"/>
      <c r="K12" s="269"/>
      <c r="L12" s="269"/>
      <c r="M12" s="270"/>
    </row>
    <row r="13" spans="1:14" ht="15.75" thickBot="1" x14ac:dyDescent="0.3">
      <c r="A13" s="16"/>
      <c r="B13" s="33" t="s">
        <v>106</v>
      </c>
      <c r="C13" s="34"/>
      <c r="D13" s="18"/>
      <c r="E13" s="35" t="s">
        <v>9</v>
      </c>
      <c r="F13" s="29" t="s">
        <v>41</v>
      </c>
      <c r="G13" s="247" t="s">
        <v>42</v>
      </c>
      <c r="H13" s="247"/>
      <c r="I13" s="247"/>
      <c r="J13" s="247"/>
      <c r="K13" s="247"/>
      <c r="L13" s="247"/>
      <c r="M13" s="248"/>
    </row>
    <row r="14" spans="1:14" ht="15" x14ac:dyDescent="0.25">
      <c r="A14" s="16"/>
      <c r="B14" s="37" t="s">
        <v>108</v>
      </c>
      <c r="C14" s="38">
        <f>'Data Entry'!C13</f>
        <v>0.5</v>
      </c>
      <c r="D14" s="18"/>
      <c r="E14" s="39" t="s">
        <v>11</v>
      </c>
      <c r="F14" s="191" t="s">
        <v>12</v>
      </c>
      <c r="G14" s="41"/>
      <c r="H14" s="41"/>
      <c r="I14" s="41"/>
      <c r="J14" s="41"/>
      <c r="K14" s="41"/>
      <c r="L14" s="41"/>
      <c r="M14" s="112"/>
    </row>
    <row r="15" spans="1:14" ht="15" x14ac:dyDescent="0.25">
      <c r="A15" s="16"/>
      <c r="B15" s="43" t="s">
        <v>28</v>
      </c>
      <c r="C15" s="34"/>
      <c r="D15" s="18"/>
      <c r="E15" s="44">
        <f>IF((E19-4*$C$12)&lt;0,0,(E19-4*$C$12))</f>
        <v>10</v>
      </c>
      <c r="F15" s="126">
        <f>IF((((-0.0082*(E15+$C$16)^2+1.5595*(E15+$C$16))-(-0.0082*($C$16)^2+1.5595*($C$16)))-((-0.0082*((E15-$C$12)+$C$16)^2+1.5595*((E15-$C$12)+$C$16))-(-0.0082*($C$16)^2+1.5595*($C$16))))&lt;0,0,((-0.0082*(E15+$C$16)^2+1.5595*(E15+$C$16))-(-0.0082*($C$16)^2+1.5595*($C$16)))-((-0.0082*((E15-$C$12)+$C$16)^2+1.5595*((E15-$C$12)+$C$16))-(-0.0082*($C$16)^2+1.5595*($C$16))))</f>
        <v>9.855000000000004</v>
      </c>
      <c r="G15" s="201">
        <f t="shared" ref="G15:M23" si="0">($F15*G$10)/($C$12*$C$11)</f>
        <v>1.4247514285714291</v>
      </c>
      <c r="H15" s="201">
        <f t="shared" si="0"/>
        <v>2.1371271428571439</v>
      </c>
      <c r="I15" s="201">
        <f t="shared" si="0"/>
        <v>2.8495028571428582</v>
      </c>
      <c r="J15" s="201">
        <f t="shared" si="0"/>
        <v>3.561878571428573</v>
      </c>
      <c r="K15" s="201">
        <f t="shared" si="0"/>
        <v>4.2742542857142878</v>
      </c>
      <c r="L15" s="201">
        <f t="shared" si="0"/>
        <v>4.9866300000000017</v>
      </c>
      <c r="M15" s="202">
        <f t="shared" si="0"/>
        <v>5.6990057142857165</v>
      </c>
    </row>
    <row r="16" spans="1:14" ht="15" x14ac:dyDescent="0.25">
      <c r="A16" s="16"/>
      <c r="B16" s="37" t="s">
        <v>29</v>
      </c>
      <c r="C16" s="45">
        <f>'Data Entry'!C15</f>
        <v>30</v>
      </c>
      <c r="D16" s="18"/>
      <c r="E16" s="44">
        <f>IF((E20-4*$C$12)&lt;0,0,(E20-4*$C$12))</f>
        <v>20</v>
      </c>
      <c r="F16" s="126">
        <f>IF((((-0.0082*(E16+$C$16)^2+1.5595*(E16+$C$16))-(-0.0082*($C$16)^2+1.5595*($C$16)))-((-0.0082*(E15+$C$16)^2+1.5595*(E15+$C$16))-(-0.0082*($C$16)^2+1.5595*($C$16))))&lt;0,0,((-0.0082*(E16+$C$16)^2+1.5595*(E16+$C$16))-(-0.0082*($C$16)^2+1.5595*($C$16)))-((-0.0082*(E15+$C$16)^2+1.5595*(E15+$C$16))-(-0.0082*($C$16)^2+1.5595*($C$16))))</f>
        <v>8.2150000000000034</v>
      </c>
      <c r="G16" s="201">
        <f t="shared" si="0"/>
        <v>1.1876542857142862</v>
      </c>
      <c r="H16" s="201">
        <f t="shared" si="0"/>
        <v>1.7814814285714293</v>
      </c>
      <c r="I16" s="201">
        <f t="shared" si="0"/>
        <v>2.3753085714285724</v>
      </c>
      <c r="J16" s="201">
        <f t="shared" si="0"/>
        <v>2.9691357142857155</v>
      </c>
      <c r="K16" s="201">
        <f t="shared" si="0"/>
        <v>3.5629628571428587</v>
      </c>
      <c r="L16" s="201">
        <f t="shared" si="0"/>
        <v>4.1567900000000018</v>
      </c>
      <c r="M16" s="202">
        <f t="shared" si="0"/>
        <v>4.7506171428571449</v>
      </c>
    </row>
    <row r="17" spans="1:13" ht="15" x14ac:dyDescent="0.25">
      <c r="A17" s="16"/>
      <c r="B17" s="43" t="s">
        <v>30</v>
      </c>
      <c r="C17" s="46"/>
      <c r="D17" s="18"/>
      <c r="E17" s="44">
        <f>IF((E21-4*$C$12)&lt;0,0,(E21-4*$C$12))</f>
        <v>30</v>
      </c>
      <c r="F17" s="126">
        <f t="shared" ref="F17:F23" si="1">IF((((-0.0082*(E17+$C$16)^2+1.5595*(E17+$C$16))-(-0.0082*($C$16)^2+1.5595*($C$16)))-((-0.0082*(E16+$C$16)^2+1.5595*(E16+$C$16))-(-0.0082*($C$16)^2+1.5595*($C$16))))&lt;0,0,((-0.0082*(E17+$C$16)^2+1.5595*(E17+$C$16))-(-0.0082*($C$16)^2+1.5595*($C$16)))-((-0.0082*(E16+$C$16)^2+1.5595*(E16+$C$16))-(-0.0082*($C$16)^2+1.5595*($C$16))))</f>
        <v>6.5750000000000028</v>
      </c>
      <c r="G17" s="201">
        <f t="shared" si="0"/>
        <v>0.95055714285714321</v>
      </c>
      <c r="H17" s="201">
        <f t="shared" si="0"/>
        <v>1.425835714285715</v>
      </c>
      <c r="I17" s="201">
        <f t="shared" si="0"/>
        <v>1.9011142857142864</v>
      </c>
      <c r="J17" s="201">
        <f t="shared" si="0"/>
        <v>2.3763928571428581</v>
      </c>
      <c r="K17" s="201">
        <f t="shared" si="0"/>
        <v>2.85167142857143</v>
      </c>
      <c r="L17" s="201">
        <f t="shared" si="0"/>
        <v>3.3269500000000014</v>
      </c>
      <c r="M17" s="202">
        <f t="shared" si="0"/>
        <v>3.8022285714285728</v>
      </c>
    </row>
    <row r="18" spans="1:13" ht="15.75" thickBot="1" x14ac:dyDescent="0.3">
      <c r="A18" s="16"/>
      <c r="B18" s="17"/>
      <c r="C18" s="18"/>
      <c r="D18" s="18"/>
      <c r="E18" s="44">
        <f>IF((E22-4*$C$12)&lt;0,0,(E22-4*$C$12))</f>
        <v>40</v>
      </c>
      <c r="F18" s="126">
        <f t="shared" si="1"/>
        <v>4.9349999999999881</v>
      </c>
      <c r="G18" s="201">
        <f t="shared" si="0"/>
        <v>0.71345999999999832</v>
      </c>
      <c r="H18" s="201">
        <f t="shared" si="0"/>
        <v>1.0701899999999973</v>
      </c>
      <c r="I18" s="201">
        <f t="shared" si="0"/>
        <v>1.4269199999999966</v>
      </c>
      <c r="J18" s="201">
        <f t="shared" si="0"/>
        <v>1.7836499999999957</v>
      </c>
      <c r="K18" s="201">
        <f t="shared" si="0"/>
        <v>2.1403799999999946</v>
      </c>
      <c r="L18" s="201">
        <f t="shared" si="0"/>
        <v>2.4971099999999939</v>
      </c>
      <c r="M18" s="202">
        <f t="shared" si="0"/>
        <v>2.8538399999999933</v>
      </c>
    </row>
    <row r="19" spans="1:13" ht="15.75" thickBot="1" x14ac:dyDescent="0.3">
      <c r="A19" s="16"/>
      <c r="B19" s="54"/>
      <c r="C19" s="48"/>
      <c r="D19" s="49" t="s">
        <v>13</v>
      </c>
      <c r="E19" s="50">
        <f>'Data Entry'!G10</f>
        <v>50</v>
      </c>
      <c r="F19" s="126">
        <f t="shared" si="1"/>
        <v>3.2950000000000017</v>
      </c>
      <c r="G19" s="201">
        <f t="shared" si="0"/>
        <v>0.47636285714285737</v>
      </c>
      <c r="H19" s="201">
        <f t="shared" si="0"/>
        <v>0.71454428571428608</v>
      </c>
      <c r="I19" s="201">
        <f t="shared" si="0"/>
        <v>0.95272571428571473</v>
      </c>
      <c r="J19" s="201">
        <f t="shared" si="0"/>
        <v>1.1909071428571434</v>
      </c>
      <c r="K19" s="201">
        <f t="shared" si="0"/>
        <v>1.4290885714285722</v>
      </c>
      <c r="L19" s="201">
        <f t="shared" si="0"/>
        <v>1.6672700000000009</v>
      </c>
      <c r="M19" s="202">
        <f t="shared" si="0"/>
        <v>1.9054514285714295</v>
      </c>
    </row>
    <row r="20" spans="1:13" ht="15" x14ac:dyDescent="0.25">
      <c r="A20" s="16"/>
      <c r="B20" s="17"/>
      <c r="C20" s="18"/>
      <c r="D20" s="18"/>
      <c r="E20" s="51">
        <f>E19+C12</f>
        <v>60</v>
      </c>
      <c r="F20" s="126">
        <f t="shared" si="1"/>
        <v>1.6550000000000153</v>
      </c>
      <c r="G20" s="201">
        <f t="shared" si="0"/>
        <v>0.2392657142857165</v>
      </c>
      <c r="H20" s="201">
        <f t="shared" si="0"/>
        <v>0.35889857142857473</v>
      </c>
      <c r="I20" s="201">
        <f t="shared" si="0"/>
        <v>0.47853142857143299</v>
      </c>
      <c r="J20" s="201">
        <f t="shared" si="0"/>
        <v>0.59816428571429126</v>
      </c>
      <c r="K20" s="201">
        <f t="shared" si="0"/>
        <v>0.71779714285714946</v>
      </c>
      <c r="L20" s="201">
        <f t="shared" si="0"/>
        <v>0.83743000000000778</v>
      </c>
      <c r="M20" s="202">
        <f t="shared" si="0"/>
        <v>0.95706285714286599</v>
      </c>
    </row>
    <row r="21" spans="1:13" ht="15" x14ac:dyDescent="0.25">
      <c r="A21" s="16"/>
      <c r="B21" s="17"/>
      <c r="C21" s="18"/>
      <c r="D21" s="18"/>
      <c r="E21" s="51">
        <f>E19+2*C12</f>
        <v>70</v>
      </c>
      <c r="F21" s="126">
        <f t="shared" si="1"/>
        <v>1.5000000000000568E-2</v>
      </c>
      <c r="G21" s="201">
        <f t="shared" si="0"/>
        <v>2.1685714285715105E-3</v>
      </c>
      <c r="H21" s="201">
        <f t="shared" si="0"/>
        <v>3.252857142857266E-3</v>
      </c>
      <c r="I21" s="201">
        <f t="shared" si="0"/>
        <v>4.3371428571430211E-3</v>
      </c>
      <c r="J21" s="201">
        <f t="shared" si="0"/>
        <v>5.4214285714287765E-3</v>
      </c>
      <c r="K21" s="201">
        <f t="shared" si="0"/>
        <v>6.505714285714532E-3</v>
      </c>
      <c r="L21" s="201">
        <f t="shared" si="0"/>
        <v>7.5900000000002875E-3</v>
      </c>
      <c r="M21" s="202">
        <f t="shared" si="0"/>
        <v>8.6742857142860421E-3</v>
      </c>
    </row>
    <row r="22" spans="1:13" ht="15" x14ac:dyDescent="0.25">
      <c r="A22" s="16"/>
      <c r="B22" s="17"/>
      <c r="C22" s="18"/>
      <c r="D22" s="18"/>
      <c r="E22" s="51">
        <f>E19+3*C12</f>
        <v>80</v>
      </c>
      <c r="F22" s="126">
        <f t="shared" si="1"/>
        <v>0</v>
      </c>
      <c r="G22" s="201">
        <f t="shared" si="0"/>
        <v>0</v>
      </c>
      <c r="H22" s="201">
        <f t="shared" si="0"/>
        <v>0</v>
      </c>
      <c r="I22" s="201">
        <f t="shared" si="0"/>
        <v>0</v>
      </c>
      <c r="J22" s="201">
        <f t="shared" si="0"/>
        <v>0</v>
      </c>
      <c r="K22" s="201">
        <f t="shared" si="0"/>
        <v>0</v>
      </c>
      <c r="L22" s="201">
        <f t="shared" si="0"/>
        <v>0</v>
      </c>
      <c r="M22" s="202">
        <f t="shared" si="0"/>
        <v>0</v>
      </c>
    </row>
    <row r="23" spans="1:13" ht="15" x14ac:dyDescent="0.25">
      <c r="A23" s="16"/>
      <c r="B23" s="17"/>
      <c r="C23" s="18"/>
      <c r="D23" s="18"/>
      <c r="E23" s="190">
        <f>E19+4*C12</f>
        <v>90</v>
      </c>
      <c r="F23" s="126">
        <f t="shared" si="1"/>
        <v>0</v>
      </c>
      <c r="G23" s="201">
        <f t="shared" si="0"/>
        <v>0</v>
      </c>
      <c r="H23" s="201">
        <f t="shared" si="0"/>
        <v>0</v>
      </c>
      <c r="I23" s="201">
        <f t="shared" si="0"/>
        <v>0</v>
      </c>
      <c r="J23" s="201">
        <f t="shared" si="0"/>
        <v>0</v>
      </c>
      <c r="K23" s="201">
        <f t="shared" si="0"/>
        <v>0</v>
      </c>
      <c r="L23" s="201">
        <f t="shared" si="0"/>
        <v>0</v>
      </c>
      <c r="M23" s="202">
        <f t="shared" si="0"/>
        <v>0</v>
      </c>
    </row>
    <row r="24" spans="1:13" ht="13.5" customHeight="1" x14ac:dyDescent="0.2">
      <c r="A24" s="16"/>
      <c r="B24" s="17"/>
      <c r="C24" s="18"/>
      <c r="D24" s="18"/>
      <c r="E24" s="78" t="s">
        <v>86</v>
      </c>
      <c r="F24" s="121"/>
      <c r="G24" s="121"/>
      <c r="H24" s="121"/>
      <c r="I24" s="12"/>
      <c r="J24" s="80"/>
      <c r="K24" s="195">
        <f>C12</f>
        <v>10</v>
      </c>
      <c r="L24" s="77" t="s">
        <v>30</v>
      </c>
      <c r="M24" s="122"/>
    </row>
    <row r="25" spans="1:13" ht="9.75" customHeight="1" x14ac:dyDescent="0.2">
      <c r="A25" s="16"/>
      <c r="B25" s="17"/>
      <c r="C25" s="18"/>
      <c r="D25" s="18"/>
      <c r="E25" s="78" t="s">
        <v>107</v>
      </c>
      <c r="F25" s="121"/>
      <c r="G25" s="121"/>
      <c r="H25" s="121"/>
      <c r="I25" s="12"/>
      <c r="J25" s="80"/>
      <c r="K25" s="80"/>
      <c r="L25" s="80"/>
      <c r="M25" s="122"/>
    </row>
    <row r="26" spans="1:13" ht="9.75" customHeight="1" x14ac:dyDescent="0.2">
      <c r="A26" s="16"/>
      <c r="B26" s="17"/>
      <c r="C26" s="18"/>
      <c r="D26" s="18"/>
      <c r="E26" s="200" t="s">
        <v>115</v>
      </c>
      <c r="F26" s="12"/>
      <c r="G26" s="121"/>
      <c r="H26" s="121"/>
      <c r="I26" s="121"/>
      <c r="J26" s="121"/>
      <c r="K26" s="121"/>
      <c r="L26" s="121"/>
      <c r="M26" s="122"/>
    </row>
    <row r="27" spans="1:13" ht="9.75" customHeight="1" thickBot="1" x14ac:dyDescent="0.25">
      <c r="A27" s="16"/>
      <c r="B27" s="17"/>
      <c r="C27" s="18"/>
      <c r="D27" s="18"/>
      <c r="E27" s="124"/>
      <c r="F27" s="123"/>
      <c r="G27" s="123"/>
      <c r="H27" s="123"/>
      <c r="I27" s="151"/>
      <c r="J27" s="119"/>
      <c r="K27" s="119"/>
      <c r="L27" s="119"/>
      <c r="M27" s="120"/>
    </row>
    <row r="28" spans="1:13" ht="11.25" customHeight="1" thickBot="1" x14ac:dyDescent="0.25">
      <c r="B28" s="252"/>
      <c r="C28" s="253"/>
      <c r="D28" s="253"/>
      <c r="E28" s="253"/>
      <c r="F28" s="253"/>
      <c r="G28" s="253"/>
      <c r="H28" s="253"/>
      <c r="I28" s="253"/>
      <c r="J28" s="55"/>
      <c r="K28" s="55"/>
      <c r="L28" s="55"/>
      <c r="M28" s="56"/>
    </row>
  </sheetData>
  <sheetProtection password="CE5A" sheet="1" objects="1" scenarios="1"/>
  <mergeCells count="10">
    <mergeCell ref="B2:M2"/>
    <mergeCell ref="B3:M3"/>
    <mergeCell ref="B7:C7"/>
    <mergeCell ref="B28:I28"/>
    <mergeCell ref="H8:L8"/>
    <mergeCell ref="G12:M12"/>
    <mergeCell ref="G13:M13"/>
    <mergeCell ref="G5:J5"/>
    <mergeCell ref="D5:F5"/>
    <mergeCell ref="K5:M5"/>
  </mergeCells>
  <phoneticPr fontId="15" type="noConversion"/>
  <conditionalFormatting sqref="G15:M23">
    <cfRule type="cellIs" dxfId="171" priority="1" stopIfTrue="1" operator="between">
      <formula>1.25</formula>
      <formula>1.5</formula>
    </cfRule>
  </conditionalFormatting>
  <hyperlinks>
    <hyperlink ref="D5" location="'Barley (Dry) Crop'!A1" display="Return to Barley (Dry) as variable"/>
    <hyperlink ref="G5" location="'Barley (Dry) Fertilizer'!A1" display="Go to Fertilizer Price as variable"/>
    <hyperlink ref="K5" location="'Data Entry'!A1" display="Return to Data Entry"/>
  </hyperlinks>
  <pageMargins left="0.75" right="0.75" top="1" bottom="1" header="0.5" footer="0.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showGridLines="0" workbookViewId="0">
      <selection activeCell="G20" sqref="G20"/>
    </sheetView>
  </sheetViews>
  <sheetFormatPr defaultRowHeight="12.75" x14ac:dyDescent="0.2"/>
  <cols>
    <col min="1" max="1" width="1.5703125" style="10" customWidth="1"/>
    <col min="2" max="2" width="17.28515625" style="10" customWidth="1"/>
    <col min="3" max="5" width="9.140625" style="10"/>
    <col min="6" max="6" width="13.140625" style="10" customWidth="1"/>
    <col min="7" max="13" width="9.140625" style="10"/>
    <col min="14" max="14" width="12.28515625" style="10" customWidth="1"/>
    <col min="15" max="16384" width="9.140625" style="10"/>
  </cols>
  <sheetData>
    <row r="1" spans="1:14" ht="6" customHeight="1" thickBot="1" x14ac:dyDescent="0.25">
      <c r="B1" s="11"/>
      <c r="C1" s="11"/>
      <c r="D1" s="11"/>
      <c r="E1" s="11"/>
      <c r="F1" s="11"/>
      <c r="G1" s="11"/>
      <c r="H1" s="11"/>
      <c r="I1" s="11"/>
    </row>
    <row r="2" spans="1:14" ht="20.25" x14ac:dyDescent="0.3">
      <c r="A2" s="11"/>
      <c r="B2" s="234" t="s">
        <v>40</v>
      </c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6"/>
    </row>
    <row r="3" spans="1:14" ht="20.25" x14ac:dyDescent="0.3">
      <c r="A3" s="11"/>
      <c r="B3" s="237" t="s">
        <v>49</v>
      </c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9"/>
    </row>
    <row r="4" spans="1:14" ht="6.75" customHeight="1" x14ac:dyDescent="0.3">
      <c r="A4" s="11"/>
      <c r="B4" s="13"/>
      <c r="C4" s="14"/>
      <c r="D4" s="14"/>
      <c r="E4" s="14"/>
      <c r="F4" s="14"/>
      <c r="G4" s="14"/>
      <c r="H4" s="14"/>
      <c r="I4" s="14"/>
      <c r="J4" s="12"/>
      <c r="K4" s="12"/>
      <c r="L4" s="12"/>
      <c r="M4" s="15"/>
      <c r="N4" s="158"/>
    </row>
    <row r="5" spans="1:14" x14ac:dyDescent="0.2">
      <c r="B5" s="198"/>
      <c r="C5" s="199"/>
      <c r="D5" s="282" t="s">
        <v>80</v>
      </c>
      <c r="E5" s="283"/>
      <c r="F5" s="283"/>
      <c r="G5" s="282" t="s">
        <v>119</v>
      </c>
      <c r="H5" s="283"/>
      <c r="I5" s="283"/>
      <c r="J5" s="283"/>
      <c r="K5" s="245" t="s">
        <v>96</v>
      </c>
      <c r="L5" s="244"/>
      <c r="M5" s="246"/>
    </row>
    <row r="6" spans="1:14" ht="4.5" customHeight="1" thickBot="1" x14ac:dyDescent="0.25">
      <c r="A6" s="16"/>
      <c r="B6" s="17"/>
      <c r="C6" s="18"/>
      <c r="D6" s="18"/>
      <c r="E6" s="18"/>
      <c r="F6" s="18"/>
      <c r="G6" s="18"/>
      <c r="H6" s="18"/>
      <c r="I6" s="18"/>
      <c r="J6" s="12"/>
      <c r="K6" s="12"/>
      <c r="L6" s="12"/>
      <c r="M6" s="15"/>
      <c r="N6" s="158"/>
    </row>
    <row r="7" spans="1:14" ht="15.75" customHeight="1" thickBot="1" x14ac:dyDescent="0.3">
      <c r="A7" s="16"/>
      <c r="B7" s="240" t="s">
        <v>39</v>
      </c>
      <c r="C7" s="241"/>
      <c r="D7" s="18"/>
      <c r="E7" s="18"/>
      <c r="F7" s="18"/>
      <c r="G7" s="18"/>
      <c r="H7" s="19"/>
      <c r="I7" s="18"/>
      <c r="J7" s="19"/>
      <c r="K7" s="12"/>
      <c r="L7" s="12"/>
      <c r="M7" s="15"/>
      <c r="N7" s="158"/>
    </row>
    <row r="8" spans="1:14" ht="15" customHeight="1" x14ac:dyDescent="0.25">
      <c r="A8" s="16"/>
      <c r="B8" s="87" t="s">
        <v>1</v>
      </c>
      <c r="C8" s="21" t="str">
        <f>'Data Entry'!C7</f>
        <v>UREA</v>
      </c>
      <c r="D8" s="18"/>
      <c r="E8" s="22"/>
      <c r="F8" s="23"/>
      <c r="G8" s="23"/>
      <c r="H8" s="274" t="s">
        <v>22</v>
      </c>
      <c r="I8" s="275"/>
      <c r="J8" s="275"/>
      <c r="K8" s="275"/>
      <c r="L8" s="275"/>
      <c r="M8" s="24"/>
    </row>
    <row r="9" spans="1:14" ht="15" x14ac:dyDescent="0.2">
      <c r="A9" s="16"/>
      <c r="B9" s="20" t="s">
        <v>3</v>
      </c>
      <c r="C9" s="59">
        <f>'Data Entry'!C8</f>
        <v>700</v>
      </c>
      <c r="D9" s="18"/>
      <c r="E9" s="17"/>
      <c r="F9" s="18"/>
      <c r="G9" s="18"/>
      <c r="H9" s="19"/>
      <c r="I9" s="18"/>
      <c r="J9" s="19"/>
      <c r="K9" s="12"/>
      <c r="L9" s="12"/>
      <c r="M9" s="15"/>
    </row>
    <row r="10" spans="1:14" ht="15" x14ac:dyDescent="0.25">
      <c r="A10" s="16"/>
      <c r="B10" s="20" t="s">
        <v>4</v>
      </c>
      <c r="C10" s="25">
        <f>'Data Entry'!C9</f>
        <v>46</v>
      </c>
      <c r="D10" s="18"/>
      <c r="E10" s="17"/>
      <c r="F10" s="18"/>
      <c r="G10" s="26">
        <f>J10-C14*3</f>
        <v>1</v>
      </c>
      <c r="H10" s="26">
        <f>J10-C14*2</f>
        <v>1.5</v>
      </c>
      <c r="I10" s="26">
        <f>J10-C14</f>
        <v>2</v>
      </c>
      <c r="J10" s="27">
        <f>'Data Entry'!F15</f>
        <v>2.5</v>
      </c>
      <c r="K10" s="26">
        <f>J10+C14</f>
        <v>3</v>
      </c>
      <c r="L10" s="26">
        <f>J10+C14*2</f>
        <v>3.5</v>
      </c>
      <c r="M10" s="28">
        <f>J10+C14*3</f>
        <v>4</v>
      </c>
    </row>
    <row r="11" spans="1:14" ht="15" x14ac:dyDescent="0.25">
      <c r="A11" s="16"/>
      <c r="B11" s="20" t="s">
        <v>5</v>
      </c>
      <c r="C11" s="61">
        <f>(C9/((C10/100)*2200))</f>
        <v>0.69169960474308301</v>
      </c>
      <c r="D11" s="18"/>
      <c r="E11" s="17"/>
      <c r="F11" s="29"/>
      <c r="G11" s="18"/>
      <c r="H11" s="18"/>
      <c r="I11" s="18"/>
      <c r="J11" s="12"/>
      <c r="K11" s="12"/>
      <c r="L11" s="12"/>
      <c r="M11" s="15"/>
    </row>
    <row r="12" spans="1:14" ht="15" x14ac:dyDescent="0.25">
      <c r="A12" s="16"/>
      <c r="B12" s="30" t="s">
        <v>20</v>
      </c>
      <c r="C12" s="31">
        <f>'Data Entry'!C11</f>
        <v>10</v>
      </c>
      <c r="D12" s="18"/>
      <c r="E12" s="32"/>
      <c r="F12" s="29"/>
      <c r="G12" s="269" t="s">
        <v>111</v>
      </c>
      <c r="H12" s="269"/>
      <c r="I12" s="269"/>
      <c r="J12" s="269"/>
      <c r="K12" s="269"/>
      <c r="L12" s="269"/>
      <c r="M12" s="270"/>
    </row>
    <row r="13" spans="1:14" ht="15.75" thickBot="1" x14ac:dyDescent="0.3">
      <c r="A13" s="16"/>
      <c r="B13" s="33" t="s">
        <v>106</v>
      </c>
      <c r="C13" s="34"/>
      <c r="D13" s="18"/>
      <c r="E13" s="35" t="s">
        <v>9</v>
      </c>
      <c r="F13" s="36" t="s">
        <v>41</v>
      </c>
      <c r="G13" s="247" t="s">
        <v>42</v>
      </c>
      <c r="H13" s="247"/>
      <c r="I13" s="247"/>
      <c r="J13" s="247"/>
      <c r="K13" s="247"/>
      <c r="L13" s="247"/>
      <c r="M13" s="248"/>
    </row>
    <row r="14" spans="1:14" ht="15" x14ac:dyDescent="0.25">
      <c r="A14" s="16"/>
      <c r="B14" s="37" t="s">
        <v>108</v>
      </c>
      <c r="C14" s="38">
        <f>'Data Entry'!C13</f>
        <v>0.5</v>
      </c>
      <c r="D14" s="18"/>
      <c r="E14" s="39" t="s">
        <v>11</v>
      </c>
      <c r="F14" s="164" t="s">
        <v>12</v>
      </c>
      <c r="G14" s="41"/>
      <c r="H14" s="41"/>
      <c r="I14" s="41"/>
      <c r="J14" s="41"/>
      <c r="K14" s="41"/>
      <c r="L14" s="41"/>
      <c r="M14" s="112"/>
    </row>
    <row r="15" spans="1:14" ht="15" x14ac:dyDescent="0.25">
      <c r="A15" s="16"/>
      <c r="B15" s="43" t="s">
        <v>28</v>
      </c>
      <c r="C15" s="34"/>
      <c r="D15" s="18"/>
      <c r="E15" s="190">
        <f>IF((E19-4*$C$12)&lt;0,0,(E19-4*$C$12))</f>
        <v>0</v>
      </c>
      <c r="F15" s="126">
        <f>IF((((-0.0032*(E15+$C$16)^2 + 0.6709*(E15+$C$16))-(-0.0032*($C$16)^2 + 0.6709*($C$16)))-((-0.0032*((E15-$C$12)+$C$16)^2 + 0.6709*((E15-$C$12)+$C$16))-(-0.0032*($C$16)^2 + 0.6709*($C$16))))&lt;0,0,(-0.0032*(E15+$C$16)^2 + 0.6709*(E15+$C$16))-(-0.0032*($C$16)^2 + 0.6709*($C$16))-((-0.0032*((E15-$C$12)+$C$16)^2 + 0.6709*((E15-$C$12)+$C$16))-(-0.0032*($C$16)^2 + 0.6709*($C$16))))</f>
        <v>5.1090000000000018</v>
      </c>
      <c r="G15" s="201">
        <f t="shared" ref="G15:M23" si="0">($F15*G$10)/($C$12*$C$11)</f>
        <v>0.73861542857142881</v>
      </c>
      <c r="H15" s="201">
        <f t="shared" si="0"/>
        <v>1.1079231428571432</v>
      </c>
      <c r="I15" s="201">
        <f t="shared" si="0"/>
        <v>1.4772308571428576</v>
      </c>
      <c r="J15" s="201">
        <f t="shared" si="0"/>
        <v>1.846538571428572</v>
      </c>
      <c r="K15" s="201">
        <f t="shared" si="0"/>
        <v>2.2158462857142864</v>
      </c>
      <c r="L15" s="201">
        <f t="shared" si="0"/>
        <v>2.5851540000000011</v>
      </c>
      <c r="M15" s="202">
        <f t="shared" si="0"/>
        <v>2.9544617142857152</v>
      </c>
    </row>
    <row r="16" spans="1:14" ht="15" x14ac:dyDescent="0.25">
      <c r="A16" s="16"/>
      <c r="B16" s="37" t="s">
        <v>29</v>
      </c>
      <c r="C16" s="45">
        <f>'Data Entry'!C15</f>
        <v>30</v>
      </c>
      <c r="D16" s="18"/>
      <c r="E16" s="190">
        <f>IF((E20-4*$C$12)&lt;0,0,(E20-4*$C$12))</f>
        <v>10</v>
      </c>
      <c r="F16" s="126">
        <f>IF((((-0.0032*(E16+$C$16)^2 + 0.6709*(E16+$C$16))-(-0.0032*($C$16)^2 + 0.6709*($C$16)))-((-0.0032*(E15+$C$16)^2 + 0.6709*(E15+$C$16))-(-0.0032*($C$16)^2 + 0.6709*($C$16))))&lt;0,0,(-0.0032*(E16+$C$16)^2 + 0.6709*(E16+$C$16))-(-0.0032*($C$16)^2 + 0.6709*($C$16))-((-0.0032*(E15+$C$16)^2 + 0.6709*(E15+$C$16))-(-0.0032*($C$16)^2 + 0.6709*($C$16))))</f>
        <v>4.4689999999999976</v>
      </c>
      <c r="G16" s="201">
        <f t="shared" si="0"/>
        <v>0.64608971428571393</v>
      </c>
      <c r="H16" s="201">
        <f t="shared" si="0"/>
        <v>0.96913457142857096</v>
      </c>
      <c r="I16" s="201">
        <f t="shared" si="0"/>
        <v>1.2921794285714279</v>
      </c>
      <c r="J16" s="201">
        <f t="shared" si="0"/>
        <v>1.6152242857142849</v>
      </c>
      <c r="K16" s="201">
        <f t="shared" si="0"/>
        <v>1.9382691428571419</v>
      </c>
      <c r="L16" s="201">
        <f t="shared" si="0"/>
        <v>2.2613139999999987</v>
      </c>
      <c r="M16" s="202">
        <f t="shared" si="0"/>
        <v>2.5843588571428557</v>
      </c>
    </row>
    <row r="17" spans="1:13" ht="15" x14ac:dyDescent="0.25">
      <c r="A17" s="16"/>
      <c r="B17" s="43" t="s">
        <v>30</v>
      </c>
      <c r="C17" s="46"/>
      <c r="D17" s="18"/>
      <c r="E17" s="190">
        <f>IF((E21-4*$C$12)&lt;0,0,(E21-4*$C$12))</f>
        <v>20</v>
      </c>
      <c r="F17" s="126">
        <f t="shared" ref="F17:F23" si="1">IF((((-0.0032*(E17+$C$16)^2 + 0.6709*(E17+$C$16))-(-0.0032*($C$16)^2 + 0.6709*($C$16)))-((-0.0032*(E16+$C$16)^2 + 0.6709*(E16+$C$16))-(-0.0032*($C$16)^2 + 0.6709*($C$16))))&lt;0,0,(-0.0032*(E17+$C$16)^2 + 0.6709*(E17+$C$16))-(-0.0032*($C$16)^2 + 0.6709*($C$16))-((-0.0032*(E16+$C$16)^2 + 0.6709*(E16+$C$16))-(-0.0032*($C$16)^2 + 0.6709*($C$16))))</f>
        <v>3.8290000000000006</v>
      </c>
      <c r="G17" s="201">
        <f t="shared" si="0"/>
        <v>0.55356400000000006</v>
      </c>
      <c r="H17" s="201">
        <f t="shared" si="0"/>
        <v>0.83034600000000014</v>
      </c>
      <c r="I17" s="201">
        <f t="shared" si="0"/>
        <v>1.1071280000000001</v>
      </c>
      <c r="J17" s="201">
        <f t="shared" si="0"/>
        <v>1.3839100000000002</v>
      </c>
      <c r="K17" s="201">
        <f t="shared" si="0"/>
        <v>1.6606920000000003</v>
      </c>
      <c r="L17" s="201">
        <f t="shared" si="0"/>
        <v>1.9374740000000004</v>
      </c>
      <c r="M17" s="202">
        <f t="shared" si="0"/>
        <v>2.2142560000000002</v>
      </c>
    </row>
    <row r="18" spans="1:13" ht="15.75" thickBot="1" x14ac:dyDescent="0.3">
      <c r="A18" s="16"/>
      <c r="B18" s="17"/>
      <c r="C18" s="18"/>
      <c r="D18" s="18"/>
      <c r="E18" s="193">
        <f>IF((E22-4*$C$12)&lt;0,0,(E22-4*$C$12))</f>
        <v>30</v>
      </c>
      <c r="F18" s="126">
        <f t="shared" si="1"/>
        <v>3.1890000000000001</v>
      </c>
      <c r="G18" s="201">
        <f t="shared" si="0"/>
        <v>0.46103828571428573</v>
      </c>
      <c r="H18" s="201">
        <f t="shared" si="0"/>
        <v>0.69155742857142855</v>
      </c>
      <c r="I18" s="201">
        <f t="shared" si="0"/>
        <v>0.92207657142857147</v>
      </c>
      <c r="J18" s="201">
        <f t="shared" si="0"/>
        <v>1.1525957142857144</v>
      </c>
      <c r="K18" s="201">
        <f t="shared" si="0"/>
        <v>1.3831148571428571</v>
      </c>
      <c r="L18" s="201">
        <f t="shared" si="0"/>
        <v>1.613634</v>
      </c>
      <c r="M18" s="202">
        <f t="shared" si="0"/>
        <v>1.8441531428571429</v>
      </c>
    </row>
    <row r="19" spans="1:13" ht="15.75" thickBot="1" x14ac:dyDescent="0.3">
      <c r="A19" s="16"/>
      <c r="B19" s="54"/>
      <c r="C19" s="48"/>
      <c r="D19" s="49" t="s">
        <v>13</v>
      </c>
      <c r="E19" s="50">
        <f>'Data Entry'!H10</f>
        <v>40</v>
      </c>
      <c r="F19" s="192">
        <f t="shared" si="1"/>
        <v>2.5489999999999995</v>
      </c>
      <c r="G19" s="201">
        <f t="shared" si="0"/>
        <v>0.36851257142857136</v>
      </c>
      <c r="H19" s="201">
        <f t="shared" si="0"/>
        <v>0.55276885714285706</v>
      </c>
      <c r="I19" s="201">
        <f t="shared" si="0"/>
        <v>0.73702514285714271</v>
      </c>
      <c r="J19" s="201">
        <f t="shared" si="0"/>
        <v>0.92128142857142836</v>
      </c>
      <c r="K19" s="201">
        <f t="shared" si="0"/>
        <v>1.1055377142857141</v>
      </c>
      <c r="L19" s="201">
        <f t="shared" si="0"/>
        <v>1.2897939999999997</v>
      </c>
      <c r="M19" s="202">
        <f t="shared" si="0"/>
        <v>1.4740502857142854</v>
      </c>
    </row>
    <row r="20" spans="1:13" ht="15" x14ac:dyDescent="0.25">
      <c r="A20" s="16"/>
      <c r="B20" s="17"/>
      <c r="C20" s="18"/>
      <c r="D20" s="18"/>
      <c r="E20" s="194">
        <f>E19+C12</f>
        <v>50</v>
      </c>
      <c r="F20" s="126">
        <f t="shared" si="1"/>
        <v>1.909000000000006</v>
      </c>
      <c r="G20" s="201">
        <f t="shared" si="0"/>
        <v>0.27598685714285803</v>
      </c>
      <c r="H20" s="201">
        <f t="shared" si="0"/>
        <v>0.41398028571428702</v>
      </c>
      <c r="I20" s="201">
        <f t="shared" si="0"/>
        <v>0.55197371428571607</v>
      </c>
      <c r="J20" s="201">
        <f t="shared" si="0"/>
        <v>0.689967142857145</v>
      </c>
      <c r="K20" s="201">
        <f t="shared" si="0"/>
        <v>0.82796057142857404</v>
      </c>
      <c r="L20" s="201">
        <f t="shared" si="0"/>
        <v>0.96595400000000309</v>
      </c>
      <c r="M20" s="202">
        <f t="shared" si="0"/>
        <v>1.1039474285714321</v>
      </c>
    </row>
    <row r="21" spans="1:13" ht="15" x14ac:dyDescent="0.25">
      <c r="A21" s="16"/>
      <c r="B21" s="17"/>
      <c r="C21" s="18"/>
      <c r="D21" s="18"/>
      <c r="E21" s="190">
        <f>E19+2*C12</f>
        <v>60</v>
      </c>
      <c r="F21" s="126">
        <f t="shared" si="1"/>
        <v>1.2689999999999984</v>
      </c>
      <c r="G21" s="201">
        <f t="shared" si="0"/>
        <v>0.18346114285714263</v>
      </c>
      <c r="H21" s="201">
        <f t="shared" si="0"/>
        <v>0.27519171428571393</v>
      </c>
      <c r="I21" s="201">
        <f t="shared" si="0"/>
        <v>0.36692228571428526</v>
      </c>
      <c r="J21" s="201">
        <f t="shared" si="0"/>
        <v>0.45865285714285653</v>
      </c>
      <c r="K21" s="201">
        <f t="shared" si="0"/>
        <v>0.55038342857142786</v>
      </c>
      <c r="L21" s="201">
        <f t="shared" si="0"/>
        <v>0.64211399999999919</v>
      </c>
      <c r="M21" s="202">
        <f t="shared" si="0"/>
        <v>0.73384457142857051</v>
      </c>
    </row>
    <row r="22" spans="1:13" ht="15" x14ac:dyDescent="0.25">
      <c r="A22" s="16"/>
      <c r="B22" s="17"/>
      <c r="C22" s="18"/>
      <c r="D22" s="18"/>
      <c r="E22" s="190">
        <f>E19+3*C12</f>
        <v>70</v>
      </c>
      <c r="F22" s="126">
        <f t="shared" si="1"/>
        <v>0.62899999999999778</v>
      </c>
      <c r="G22" s="201">
        <f t="shared" si="0"/>
        <v>9.0935428571428251E-2</v>
      </c>
      <c r="H22" s="201">
        <f t="shared" si="0"/>
        <v>0.13640314285714236</v>
      </c>
      <c r="I22" s="201">
        <f t="shared" si="0"/>
        <v>0.1818708571428565</v>
      </c>
      <c r="J22" s="201">
        <f t="shared" si="0"/>
        <v>0.22733857142857061</v>
      </c>
      <c r="K22" s="201">
        <f t="shared" si="0"/>
        <v>0.27280628571428472</v>
      </c>
      <c r="L22" s="201">
        <f t="shared" si="0"/>
        <v>0.31827399999999889</v>
      </c>
      <c r="M22" s="202">
        <f t="shared" si="0"/>
        <v>0.363741714285713</v>
      </c>
    </row>
    <row r="23" spans="1:13" ht="15" x14ac:dyDescent="0.25">
      <c r="A23" s="16"/>
      <c r="B23" s="17"/>
      <c r="C23" s="18"/>
      <c r="D23" s="18"/>
      <c r="E23" s="190">
        <f>E19+4*C12</f>
        <v>80</v>
      </c>
      <c r="F23" s="126">
        <f t="shared" si="1"/>
        <v>0</v>
      </c>
      <c r="G23" s="201">
        <f t="shared" si="0"/>
        <v>0</v>
      </c>
      <c r="H23" s="201">
        <f t="shared" si="0"/>
        <v>0</v>
      </c>
      <c r="I23" s="201">
        <f t="shared" si="0"/>
        <v>0</v>
      </c>
      <c r="J23" s="201">
        <f t="shared" si="0"/>
        <v>0</v>
      </c>
      <c r="K23" s="201">
        <f t="shared" si="0"/>
        <v>0</v>
      </c>
      <c r="L23" s="201">
        <f t="shared" si="0"/>
        <v>0</v>
      </c>
      <c r="M23" s="202">
        <f t="shared" si="0"/>
        <v>0</v>
      </c>
    </row>
    <row r="24" spans="1:13" ht="13.5" customHeight="1" x14ac:dyDescent="0.2">
      <c r="A24" s="16"/>
      <c r="B24" s="17"/>
      <c r="C24" s="18"/>
      <c r="D24" s="18"/>
      <c r="E24" s="78" t="s">
        <v>86</v>
      </c>
      <c r="F24" s="121"/>
      <c r="G24" s="121"/>
      <c r="H24" s="121"/>
      <c r="I24" s="12"/>
      <c r="J24" s="80"/>
      <c r="K24" s="195">
        <f>C12</f>
        <v>10</v>
      </c>
      <c r="L24" s="77" t="s">
        <v>30</v>
      </c>
      <c r="M24" s="122"/>
    </row>
    <row r="25" spans="1:13" ht="9.75" customHeight="1" x14ac:dyDescent="0.2">
      <c r="A25" s="16"/>
      <c r="B25" s="17"/>
      <c r="C25" s="18"/>
      <c r="D25" s="18"/>
      <c r="E25" s="78" t="s">
        <v>107</v>
      </c>
      <c r="F25" s="121"/>
      <c r="G25" s="121"/>
      <c r="H25" s="121"/>
      <c r="I25" s="12"/>
      <c r="J25" s="80"/>
      <c r="K25" s="80"/>
      <c r="L25" s="80"/>
      <c r="M25" s="122"/>
    </row>
    <row r="26" spans="1:13" ht="9.75" customHeight="1" x14ac:dyDescent="0.2">
      <c r="A26" s="16"/>
      <c r="B26" s="17"/>
      <c r="C26" s="18"/>
      <c r="D26" s="18"/>
      <c r="E26" s="200" t="s">
        <v>115</v>
      </c>
      <c r="F26" s="12"/>
      <c r="G26" s="121"/>
      <c r="H26" s="121"/>
      <c r="I26" s="121"/>
      <c r="J26" s="121"/>
      <c r="K26" s="121"/>
      <c r="L26" s="121"/>
      <c r="M26" s="122"/>
    </row>
    <row r="27" spans="1:13" ht="9.75" customHeight="1" thickBot="1" x14ac:dyDescent="0.25">
      <c r="A27" s="16"/>
      <c r="B27" s="17"/>
      <c r="C27" s="18"/>
      <c r="D27" s="18"/>
      <c r="E27" s="124"/>
      <c r="F27" s="123"/>
      <c r="G27" s="123"/>
      <c r="H27" s="123"/>
      <c r="I27" s="151"/>
      <c r="J27" s="119"/>
      <c r="K27" s="119"/>
      <c r="L27" s="119"/>
      <c r="M27" s="120"/>
    </row>
    <row r="28" spans="1:13" ht="11.25" customHeight="1" thickBot="1" x14ac:dyDescent="0.25">
      <c r="B28" s="252"/>
      <c r="C28" s="253"/>
      <c r="D28" s="253"/>
      <c r="E28" s="253"/>
      <c r="F28" s="253"/>
      <c r="G28" s="253"/>
      <c r="H28" s="253"/>
      <c r="I28" s="253"/>
      <c r="J28" s="55"/>
      <c r="K28" s="55"/>
      <c r="L28" s="55"/>
      <c r="M28" s="56"/>
    </row>
  </sheetData>
  <sheetProtection password="CE5A" sheet="1" objects="1" scenarios="1"/>
  <mergeCells count="10">
    <mergeCell ref="B2:M2"/>
    <mergeCell ref="B3:M3"/>
    <mergeCell ref="B7:C7"/>
    <mergeCell ref="B28:I28"/>
    <mergeCell ref="H8:L8"/>
    <mergeCell ref="G12:M12"/>
    <mergeCell ref="G13:M13"/>
    <mergeCell ref="G5:J5"/>
    <mergeCell ref="D5:F5"/>
    <mergeCell ref="K5:M5"/>
  </mergeCells>
  <phoneticPr fontId="15" type="noConversion"/>
  <conditionalFormatting sqref="G15:M23">
    <cfRule type="cellIs" dxfId="170" priority="1" stopIfTrue="1" operator="between">
      <formula>1.25</formula>
      <formula>1.5</formula>
    </cfRule>
  </conditionalFormatting>
  <hyperlinks>
    <hyperlink ref="D5" location="'Barley (Arid) Crop'!A1" display="Return to Barley (Arid) as variable"/>
    <hyperlink ref="G5" location="'Barley (Arid) Fertilizer'!A1" display="Go to Fertilizer Price as variable"/>
    <hyperlink ref="K5" location="'Data Entry'!A1" display="Return to Data Entry"/>
  </hyperlinks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showGridLines="0" workbookViewId="0">
      <selection activeCell="F17" sqref="F17"/>
    </sheetView>
  </sheetViews>
  <sheetFormatPr defaultRowHeight="12.75" x14ac:dyDescent="0.2"/>
  <cols>
    <col min="1" max="1" width="1.5703125" style="10" customWidth="1"/>
    <col min="2" max="2" width="16.5703125" style="10" customWidth="1"/>
    <col min="3" max="5" width="9.140625" style="10"/>
    <col min="6" max="6" width="10.85546875" style="10" customWidth="1"/>
    <col min="7" max="13" width="9.140625" style="10"/>
    <col min="14" max="14" width="15.42578125" style="10" customWidth="1"/>
    <col min="15" max="16384" width="9.140625" style="10"/>
  </cols>
  <sheetData>
    <row r="1" spans="1:14" ht="6" customHeight="1" thickBot="1" x14ac:dyDescent="0.25">
      <c r="A1" s="158"/>
      <c r="B1" s="11"/>
      <c r="C1" s="11"/>
      <c r="D1" s="11"/>
      <c r="E1" s="11"/>
      <c r="F1" s="11"/>
      <c r="G1" s="11"/>
      <c r="H1" s="11"/>
      <c r="I1" s="11"/>
    </row>
    <row r="2" spans="1:14" ht="20.25" x14ac:dyDescent="0.3">
      <c r="A2" s="11"/>
      <c r="B2" s="234" t="s">
        <v>40</v>
      </c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6"/>
    </row>
    <row r="3" spans="1:14" ht="20.25" x14ac:dyDescent="0.3">
      <c r="A3" s="11"/>
      <c r="B3" s="237" t="s">
        <v>65</v>
      </c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9"/>
    </row>
    <row r="4" spans="1:14" ht="6.75" customHeight="1" x14ac:dyDescent="0.3">
      <c r="A4" s="11"/>
      <c r="B4" s="13"/>
      <c r="C4" s="14"/>
      <c r="D4" s="14"/>
      <c r="E4" s="14"/>
      <c r="F4" s="14"/>
      <c r="G4" s="14"/>
      <c r="H4" s="14"/>
      <c r="I4" s="14"/>
      <c r="J4" s="12"/>
      <c r="K4" s="12"/>
      <c r="L4" s="12"/>
      <c r="M4" s="15"/>
      <c r="N4" s="158"/>
    </row>
    <row r="5" spans="1:14" x14ac:dyDescent="0.2">
      <c r="B5" s="198"/>
      <c r="C5" s="199"/>
      <c r="D5" s="282" t="s">
        <v>97</v>
      </c>
      <c r="E5" s="283"/>
      <c r="F5" s="283"/>
      <c r="G5" s="282" t="s">
        <v>119</v>
      </c>
      <c r="H5" s="283"/>
      <c r="I5" s="283"/>
      <c r="J5" s="283"/>
      <c r="K5" s="245" t="s">
        <v>96</v>
      </c>
      <c r="L5" s="244"/>
      <c r="M5" s="246"/>
    </row>
    <row r="6" spans="1:14" ht="4.5" customHeight="1" thickBot="1" x14ac:dyDescent="0.25">
      <c r="A6" s="16"/>
      <c r="B6" s="17"/>
      <c r="C6" s="18"/>
      <c r="D6" s="18"/>
      <c r="E6" s="18"/>
      <c r="F6" s="18"/>
      <c r="G6" s="18"/>
      <c r="H6" s="18"/>
      <c r="I6" s="18"/>
      <c r="J6" s="12"/>
      <c r="K6" s="12"/>
      <c r="L6" s="12"/>
      <c r="M6" s="15"/>
      <c r="N6" s="158"/>
    </row>
    <row r="7" spans="1:14" ht="15.75" customHeight="1" thickBot="1" x14ac:dyDescent="0.3">
      <c r="A7" s="16"/>
      <c r="B7" s="240" t="s">
        <v>39</v>
      </c>
      <c r="C7" s="241"/>
      <c r="D7" s="18"/>
      <c r="E7" s="18"/>
      <c r="F7" s="18"/>
      <c r="G7" s="18"/>
      <c r="H7" s="19"/>
      <c r="I7" s="18"/>
      <c r="J7" s="19"/>
      <c r="K7" s="12"/>
      <c r="L7" s="12"/>
      <c r="M7" s="15"/>
      <c r="N7" s="158"/>
    </row>
    <row r="8" spans="1:14" ht="15" customHeight="1" x14ac:dyDescent="0.25">
      <c r="A8" s="16"/>
      <c r="B8" s="87" t="s">
        <v>1</v>
      </c>
      <c r="C8" s="21" t="str">
        <f>'Data Entry'!C7</f>
        <v>UREA</v>
      </c>
      <c r="D8" s="18"/>
      <c r="E8" s="22"/>
      <c r="F8" s="23"/>
      <c r="G8" s="23"/>
      <c r="H8" s="274" t="s">
        <v>26</v>
      </c>
      <c r="I8" s="275"/>
      <c r="J8" s="275"/>
      <c r="K8" s="275"/>
      <c r="L8" s="275"/>
      <c r="M8" s="24"/>
    </row>
    <row r="9" spans="1:14" ht="15" x14ac:dyDescent="0.2">
      <c r="A9" s="16"/>
      <c r="B9" s="20" t="s">
        <v>3</v>
      </c>
      <c r="C9" s="59">
        <f>'Data Entry'!C8</f>
        <v>700</v>
      </c>
      <c r="D9" s="18"/>
      <c r="E9" s="17"/>
      <c r="F9" s="18"/>
      <c r="G9" s="18"/>
      <c r="H9" s="19"/>
      <c r="I9" s="18"/>
      <c r="J9" s="19"/>
      <c r="K9" s="12"/>
      <c r="L9" s="12"/>
      <c r="M9" s="15"/>
    </row>
    <row r="10" spans="1:14" ht="15" x14ac:dyDescent="0.25">
      <c r="A10" s="16"/>
      <c r="B10" s="20" t="s">
        <v>4</v>
      </c>
      <c r="C10" s="25">
        <f>'Data Entry'!C9</f>
        <v>46</v>
      </c>
      <c r="D10" s="18"/>
      <c r="E10" s="17"/>
      <c r="F10" s="18"/>
      <c r="G10" s="26">
        <f>J10-C14*3</f>
        <v>7.5</v>
      </c>
      <c r="H10" s="26">
        <f>J10-C14*2</f>
        <v>8</v>
      </c>
      <c r="I10" s="26">
        <f>J10-C14</f>
        <v>8.5</v>
      </c>
      <c r="J10" s="27">
        <f>'Data Entry'!F16</f>
        <v>9</v>
      </c>
      <c r="K10" s="26">
        <f>J10+C14</f>
        <v>9.5</v>
      </c>
      <c r="L10" s="26">
        <f>J10+C14*2</f>
        <v>10</v>
      </c>
      <c r="M10" s="28">
        <f>J10+C14*3</f>
        <v>10.5</v>
      </c>
    </row>
    <row r="11" spans="1:14" ht="15" x14ac:dyDescent="0.25">
      <c r="A11" s="16"/>
      <c r="B11" s="20" t="s">
        <v>5</v>
      </c>
      <c r="C11" s="61">
        <f>(C9/((C10/100)*2200))</f>
        <v>0.69169960474308301</v>
      </c>
      <c r="D11" s="18"/>
      <c r="E11" s="17"/>
      <c r="F11" s="29"/>
      <c r="G11" s="18"/>
      <c r="H11" s="18"/>
      <c r="I11" s="18"/>
      <c r="J11" s="12"/>
      <c r="K11" s="12"/>
      <c r="L11" s="12"/>
      <c r="M11" s="15"/>
    </row>
    <row r="12" spans="1:14" ht="15" x14ac:dyDescent="0.25">
      <c r="A12" s="16"/>
      <c r="B12" s="30" t="s">
        <v>20</v>
      </c>
      <c r="C12" s="31">
        <f>'Data Entry'!C11</f>
        <v>10</v>
      </c>
      <c r="D12" s="18"/>
      <c r="E12" s="32"/>
      <c r="F12" s="29"/>
      <c r="G12" s="269" t="s">
        <v>111</v>
      </c>
      <c r="H12" s="269"/>
      <c r="I12" s="269"/>
      <c r="J12" s="269"/>
      <c r="K12" s="269"/>
      <c r="L12" s="269"/>
      <c r="M12" s="270"/>
    </row>
    <row r="13" spans="1:14" ht="15.75" thickBot="1" x14ac:dyDescent="0.3">
      <c r="A13" s="16"/>
      <c r="B13" s="33" t="s">
        <v>106</v>
      </c>
      <c r="C13" s="34"/>
      <c r="D13" s="18"/>
      <c r="E13" s="35" t="s">
        <v>9</v>
      </c>
      <c r="F13" s="36" t="s">
        <v>41</v>
      </c>
      <c r="G13" s="247" t="s">
        <v>42</v>
      </c>
      <c r="H13" s="247"/>
      <c r="I13" s="247"/>
      <c r="J13" s="247"/>
      <c r="K13" s="247"/>
      <c r="L13" s="247"/>
      <c r="M13" s="248"/>
    </row>
    <row r="14" spans="1:14" ht="15" x14ac:dyDescent="0.25">
      <c r="A14" s="16"/>
      <c r="B14" s="37" t="s">
        <v>108</v>
      </c>
      <c r="C14" s="38">
        <f>'Data Entry'!C13</f>
        <v>0.5</v>
      </c>
      <c r="D14" s="18"/>
      <c r="E14" s="39" t="s">
        <v>11</v>
      </c>
      <c r="F14" s="40" t="s">
        <v>12</v>
      </c>
      <c r="G14" s="41"/>
      <c r="H14" s="41"/>
      <c r="I14" s="41"/>
      <c r="J14" s="41"/>
      <c r="K14" s="41"/>
      <c r="L14" s="41"/>
      <c r="M14" s="112"/>
    </row>
    <row r="15" spans="1:14" ht="15" x14ac:dyDescent="0.25">
      <c r="A15" s="16"/>
      <c r="B15" s="43" t="s">
        <v>28</v>
      </c>
      <c r="C15" s="34"/>
      <c r="D15" s="18"/>
      <c r="E15" s="190">
        <f>IF((E19-4*$C$12)&lt;0,0,(E19-4*$C$12))</f>
        <v>30</v>
      </c>
      <c r="F15" s="126">
        <f>IF((((-0.0009*(E15+$C$16)^2+0.2797*(E15+$C$16))-(-0.0009*($C$16)^2+0.2797*($C$16)))-((-0.0009*((E15-$C$12)+$C$16)^2+0.2797*((E15-$C$12)+$C$16))-(-0.0009*($C$16)^2+0.2797*($C$16))))&lt;0,0,((-0.0009*(E15+$C$16)^2+0.2797*(E15+$C$16))-(-0.0009*($C$16)^2+0.2797*($C$16)))-((-0.0009*((E15-$C$12)+$C$16)^2+0.2797*((E15-$C$12)+$C$16))-(-0.0009*($C$16)^2+0.2797*($C$16))))</f>
        <v>1.8070000000000004</v>
      </c>
      <c r="G15" s="201">
        <f t="shared" ref="G15:M23" si="0">($F15*G$10)/($C$12*$C$11)</f>
        <v>1.9593042857142859</v>
      </c>
      <c r="H15" s="201">
        <f t="shared" si="0"/>
        <v>2.0899245714285719</v>
      </c>
      <c r="I15" s="201">
        <f t="shared" si="0"/>
        <v>2.2205448571428579</v>
      </c>
      <c r="J15" s="201">
        <f t="shared" si="0"/>
        <v>2.3511651428571434</v>
      </c>
      <c r="K15" s="201">
        <f t="shared" si="0"/>
        <v>2.4817854285714289</v>
      </c>
      <c r="L15" s="201">
        <f t="shared" si="0"/>
        <v>2.6124057142857149</v>
      </c>
      <c r="M15" s="202">
        <f t="shared" si="0"/>
        <v>2.7430260000000009</v>
      </c>
    </row>
    <row r="16" spans="1:14" ht="15" x14ac:dyDescent="0.25">
      <c r="A16" s="16"/>
      <c r="B16" s="37" t="s">
        <v>29</v>
      </c>
      <c r="C16" s="45">
        <f>'Data Entry'!C15</f>
        <v>30</v>
      </c>
      <c r="D16" s="18"/>
      <c r="E16" s="190">
        <f>IF((E20-4*$C$12)&lt;0,0,(E20-4*$C$12))</f>
        <v>40</v>
      </c>
      <c r="F16" s="126">
        <f t="shared" ref="F16:F23" si="1">IF((((-0.0009*(E16+$C$16)^2+0.2797*(E16+$C$16))-(-0.0009*($C$16)^2+0.2797*($C$16)))-((-0.0009*((E16-$C$12)+$C$16)^2+0.2797*((E16-$C$12)+$C$16))-(-0.0009*($C$16)^2+0.2797*($C$16))))&lt;0,0,((-0.0009*(E16+$C$16)^2+0.2797*(E16+$C$16))-(-0.0009*($C$16)^2+0.2797*($C$16)))-((-0.0009*((E16-$C$12)+$C$16)^2+0.2797*((E16-$C$12)+$C$16))-(-0.0009*($C$16)^2+0.2797*($C$16))))</f>
        <v>1.6270000000000007</v>
      </c>
      <c r="G16" s="201">
        <f t="shared" si="0"/>
        <v>1.7641328571428578</v>
      </c>
      <c r="H16" s="201">
        <f t="shared" si="0"/>
        <v>1.8817417142857151</v>
      </c>
      <c r="I16" s="201">
        <f t="shared" si="0"/>
        <v>1.9993505714285724</v>
      </c>
      <c r="J16" s="201">
        <f t="shared" si="0"/>
        <v>2.1169594285714295</v>
      </c>
      <c r="K16" s="201">
        <f t="shared" si="0"/>
        <v>2.2345682857142863</v>
      </c>
      <c r="L16" s="201">
        <f t="shared" si="0"/>
        <v>2.3521771428571436</v>
      </c>
      <c r="M16" s="202">
        <f t="shared" si="0"/>
        <v>2.4697860000000009</v>
      </c>
    </row>
    <row r="17" spans="1:13" ht="15" x14ac:dyDescent="0.25">
      <c r="A17" s="16"/>
      <c r="B17" s="43" t="s">
        <v>30</v>
      </c>
      <c r="C17" s="46"/>
      <c r="D17" s="18"/>
      <c r="E17" s="190">
        <f>IF((E21-4*$C$12)&lt;0,0,(E21-4*$C$12))</f>
        <v>50</v>
      </c>
      <c r="F17" s="126">
        <f t="shared" si="1"/>
        <v>1.4470000000000001</v>
      </c>
      <c r="G17" s="201">
        <f t="shared" si="0"/>
        <v>1.5689614285714286</v>
      </c>
      <c r="H17" s="201">
        <f t="shared" si="0"/>
        <v>1.6735588571428572</v>
      </c>
      <c r="I17" s="201">
        <f t="shared" si="0"/>
        <v>1.7781562857142856</v>
      </c>
      <c r="J17" s="201">
        <f t="shared" si="0"/>
        <v>1.8827537142857143</v>
      </c>
      <c r="K17" s="201">
        <f t="shared" si="0"/>
        <v>1.9873511428571431</v>
      </c>
      <c r="L17" s="201">
        <f t="shared" si="0"/>
        <v>2.0919485714285715</v>
      </c>
      <c r="M17" s="202">
        <f t="shared" si="0"/>
        <v>2.1965460000000001</v>
      </c>
    </row>
    <row r="18" spans="1:13" ht="15.75" thickBot="1" x14ac:dyDescent="0.3">
      <c r="A18" s="16"/>
      <c r="B18" s="17"/>
      <c r="C18" s="18"/>
      <c r="D18" s="18"/>
      <c r="E18" s="193">
        <f>IF((E22-4*$C$12)&lt;0,0,(E22-4*$C$12))</f>
        <v>60</v>
      </c>
      <c r="F18" s="126">
        <f t="shared" si="1"/>
        <v>1.267000000000003</v>
      </c>
      <c r="G18" s="201">
        <f t="shared" si="0"/>
        <v>1.3737900000000032</v>
      </c>
      <c r="H18" s="201">
        <f t="shared" si="0"/>
        <v>1.4653760000000036</v>
      </c>
      <c r="I18" s="201">
        <f t="shared" si="0"/>
        <v>1.5569620000000037</v>
      </c>
      <c r="J18" s="201">
        <f t="shared" si="0"/>
        <v>1.6485480000000039</v>
      </c>
      <c r="K18" s="201">
        <f t="shared" si="0"/>
        <v>1.7401340000000041</v>
      </c>
      <c r="L18" s="201">
        <f t="shared" si="0"/>
        <v>1.8317200000000045</v>
      </c>
      <c r="M18" s="202">
        <f t="shared" si="0"/>
        <v>1.9233060000000046</v>
      </c>
    </row>
    <row r="19" spans="1:13" ht="15.75" thickBot="1" x14ac:dyDescent="0.3">
      <c r="A19" s="16"/>
      <c r="B19" s="54"/>
      <c r="C19" s="48"/>
      <c r="D19" s="49" t="s">
        <v>13</v>
      </c>
      <c r="E19" s="50">
        <f>'Data Entry'!F11</f>
        <v>70</v>
      </c>
      <c r="F19" s="192">
        <f t="shared" si="1"/>
        <v>1.0869999999999962</v>
      </c>
      <c r="G19" s="201">
        <f t="shared" si="0"/>
        <v>1.1786185714285673</v>
      </c>
      <c r="H19" s="201">
        <f t="shared" si="0"/>
        <v>1.2571931428571383</v>
      </c>
      <c r="I19" s="201">
        <f t="shared" si="0"/>
        <v>1.3357677142857096</v>
      </c>
      <c r="J19" s="201">
        <f t="shared" si="0"/>
        <v>1.4143422857142807</v>
      </c>
      <c r="K19" s="201">
        <f t="shared" si="0"/>
        <v>1.4929168571428519</v>
      </c>
      <c r="L19" s="201">
        <f t="shared" si="0"/>
        <v>1.571491428571423</v>
      </c>
      <c r="M19" s="202">
        <f t="shared" si="0"/>
        <v>1.6500659999999943</v>
      </c>
    </row>
    <row r="20" spans="1:13" ht="15" x14ac:dyDescent="0.25">
      <c r="A20" s="16"/>
      <c r="B20" s="17"/>
      <c r="C20" s="18"/>
      <c r="D20" s="18"/>
      <c r="E20" s="194">
        <f>E19+C12</f>
        <v>80</v>
      </c>
      <c r="F20" s="126">
        <f t="shared" si="1"/>
        <v>0.90700000000000003</v>
      </c>
      <c r="G20" s="201">
        <f t="shared" si="0"/>
        <v>0.98344714285714285</v>
      </c>
      <c r="H20" s="201">
        <f t="shared" si="0"/>
        <v>1.0490102857142858</v>
      </c>
      <c r="I20" s="201">
        <f t="shared" si="0"/>
        <v>1.1145734285714286</v>
      </c>
      <c r="J20" s="201">
        <f t="shared" si="0"/>
        <v>1.1801365714285714</v>
      </c>
      <c r="K20" s="201">
        <f t="shared" si="0"/>
        <v>1.2456997142857142</v>
      </c>
      <c r="L20" s="201">
        <f t="shared" si="0"/>
        <v>1.3112628571428573</v>
      </c>
      <c r="M20" s="202">
        <f t="shared" si="0"/>
        <v>1.3768260000000001</v>
      </c>
    </row>
    <row r="21" spans="1:13" ht="15" x14ac:dyDescent="0.25">
      <c r="A21" s="16"/>
      <c r="B21" s="17"/>
      <c r="C21" s="18"/>
      <c r="D21" s="18"/>
      <c r="E21" s="190">
        <f>E19+2*C12</f>
        <v>90</v>
      </c>
      <c r="F21" s="126">
        <f t="shared" si="1"/>
        <v>0.72700000000000031</v>
      </c>
      <c r="G21" s="201">
        <f t="shared" si="0"/>
        <v>0.78827571428571463</v>
      </c>
      <c r="H21" s="201">
        <f t="shared" si="0"/>
        <v>0.84082742857142889</v>
      </c>
      <c r="I21" s="201">
        <f t="shared" si="0"/>
        <v>0.89337914285714326</v>
      </c>
      <c r="J21" s="201">
        <f t="shared" si="0"/>
        <v>0.94593085714285752</v>
      </c>
      <c r="K21" s="201">
        <f t="shared" si="0"/>
        <v>0.99848257142857189</v>
      </c>
      <c r="L21" s="201">
        <f t="shared" si="0"/>
        <v>1.0510342857142863</v>
      </c>
      <c r="M21" s="202">
        <f t="shared" si="0"/>
        <v>1.1035860000000004</v>
      </c>
    </row>
    <row r="22" spans="1:13" ht="15" x14ac:dyDescent="0.25">
      <c r="A22" s="16"/>
      <c r="B22" s="17"/>
      <c r="C22" s="18"/>
      <c r="D22" s="18"/>
      <c r="E22" s="190">
        <f>E19+3*C12</f>
        <v>100</v>
      </c>
      <c r="F22" s="126">
        <f t="shared" si="1"/>
        <v>0.54699999999999704</v>
      </c>
      <c r="G22" s="201">
        <f t="shared" si="0"/>
        <v>0.59310428571428253</v>
      </c>
      <c r="H22" s="201">
        <f t="shared" si="0"/>
        <v>0.632644571428568</v>
      </c>
      <c r="I22" s="201">
        <f t="shared" si="0"/>
        <v>0.67218485714285348</v>
      </c>
      <c r="J22" s="201">
        <f t="shared" si="0"/>
        <v>0.71172514285713906</v>
      </c>
      <c r="K22" s="201">
        <f t="shared" si="0"/>
        <v>0.75126542857142453</v>
      </c>
      <c r="L22" s="201">
        <f t="shared" si="0"/>
        <v>0.79080571428571</v>
      </c>
      <c r="M22" s="202">
        <f t="shared" si="0"/>
        <v>0.83034599999999548</v>
      </c>
    </row>
    <row r="23" spans="1:13" ht="15" x14ac:dyDescent="0.25">
      <c r="A23" s="16"/>
      <c r="B23" s="17"/>
      <c r="C23" s="18"/>
      <c r="D23" s="18"/>
      <c r="E23" s="190">
        <f>E19+4*C12</f>
        <v>110</v>
      </c>
      <c r="F23" s="126">
        <f t="shared" si="1"/>
        <v>0.36700000000000443</v>
      </c>
      <c r="G23" s="201">
        <f t="shared" si="0"/>
        <v>0.39793285714286197</v>
      </c>
      <c r="H23" s="201">
        <f t="shared" si="0"/>
        <v>0.42446171428571944</v>
      </c>
      <c r="I23" s="201">
        <f t="shared" si="0"/>
        <v>0.45099057142857685</v>
      </c>
      <c r="J23" s="201">
        <f t="shared" si="0"/>
        <v>0.47751942857143431</v>
      </c>
      <c r="K23" s="201">
        <f t="shared" si="0"/>
        <v>0.50404828571429183</v>
      </c>
      <c r="L23" s="201">
        <f t="shared" si="0"/>
        <v>0.5305771428571493</v>
      </c>
      <c r="M23" s="202">
        <f t="shared" si="0"/>
        <v>0.55710600000000676</v>
      </c>
    </row>
    <row r="24" spans="1:13" ht="13.5" customHeight="1" x14ac:dyDescent="0.2">
      <c r="A24" s="16"/>
      <c r="B24" s="17"/>
      <c r="C24" s="18"/>
      <c r="D24" s="18"/>
      <c r="E24" s="78" t="s">
        <v>86</v>
      </c>
      <c r="F24" s="121"/>
      <c r="G24" s="121"/>
      <c r="H24" s="121"/>
      <c r="I24" s="12"/>
      <c r="J24" s="80"/>
      <c r="K24" s="195">
        <f>C12</f>
        <v>10</v>
      </c>
      <c r="L24" s="77" t="s">
        <v>30</v>
      </c>
      <c r="M24" s="122"/>
    </row>
    <row r="25" spans="1:13" ht="9.75" customHeight="1" x14ac:dyDescent="0.2">
      <c r="A25" s="16"/>
      <c r="B25" s="17"/>
      <c r="C25" s="18"/>
      <c r="D25" s="18"/>
      <c r="E25" s="78" t="s">
        <v>107</v>
      </c>
      <c r="F25" s="121"/>
      <c r="G25" s="121"/>
      <c r="H25" s="121"/>
      <c r="I25" s="12"/>
      <c r="J25" s="80"/>
      <c r="K25" s="80"/>
      <c r="L25" s="80"/>
      <c r="M25" s="122"/>
    </row>
    <row r="26" spans="1:13" ht="9.75" customHeight="1" x14ac:dyDescent="0.2">
      <c r="A26" s="16"/>
      <c r="B26" s="17"/>
      <c r="C26" s="18"/>
      <c r="D26" s="18"/>
      <c r="E26" s="200" t="s">
        <v>115</v>
      </c>
      <c r="F26" s="12"/>
      <c r="G26" s="121"/>
      <c r="H26" s="121"/>
      <c r="I26" s="121"/>
      <c r="J26" s="121"/>
      <c r="K26" s="121"/>
      <c r="L26" s="121"/>
      <c r="M26" s="122"/>
    </row>
    <row r="27" spans="1:13" ht="9.75" customHeight="1" thickBot="1" x14ac:dyDescent="0.25">
      <c r="A27" s="16"/>
      <c r="B27" s="17"/>
      <c r="C27" s="18"/>
      <c r="D27" s="18"/>
      <c r="E27" s="124"/>
      <c r="F27" s="123"/>
      <c r="G27" s="123"/>
      <c r="H27" s="123"/>
      <c r="I27" s="151"/>
      <c r="J27" s="119"/>
      <c r="K27" s="119"/>
      <c r="L27" s="119"/>
      <c r="M27" s="120"/>
    </row>
    <row r="28" spans="1:13" ht="11.25" customHeight="1" thickBot="1" x14ac:dyDescent="0.25">
      <c r="B28" s="252"/>
      <c r="C28" s="253"/>
      <c r="D28" s="253"/>
      <c r="E28" s="253"/>
      <c r="F28" s="253"/>
      <c r="G28" s="253"/>
      <c r="H28" s="253"/>
      <c r="I28" s="253"/>
      <c r="J28" s="55"/>
      <c r="K28" s="55"/>
      <c r="L28" s="55"/>
      <c r="M28" s="56"/>
    </row>
  </sheetData>
  <sheetProtection password="CE5A" sheet="1" objects="1" scenarios="1"/>
  <mergeCells count="10">
    <mergeCell ref="B28:I28"/>
    <mergeCell ref="K5:M5"/>
    <mergeCell ref="G5:J5"/>
    <mergeCell ref="D5:F5"/>
    <mergeCell ref="B2:M2"/>
    <mergeCell ref="B3:M3"/>
    <mergeCell ref="B7:C7"/>
    <mergeCell ref="H8:L8"/>
    <mergeCell ref="G12:M12"/>
    <mergeCell ref="G13:M13"/>
  </mergeCells>
  <phoneticPr fontId="15" type="noConversion"/>
  <conditionalFormatting sqref="G15:M23">
    <cfRule type="cellIs" dxfId="169" priority="1" stopIfTrue="1" operator="between">
      <formula>1.25</formula>
      <formula>1.5</formula>
    </cfRule>
  </conditionalFormatting>
  <hyperlinks>
    <hyperlink ref="D5" location="'Canola Crop'!A1" display="Return Canola as variable"/>
    <hyperlink ref="G5" location="'Canola Fertilizer'!A1" display="Go to Fertilizer Price as variable"/>
    <hyperlink ref="K5" location="'Data Entry'!A1" display="Return to Data Entry"/>
  </hyperlinks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showGridLines="0" workbookViewId="0">
      <selection activeCell="F17" sqref="F17"/>
    </sheetView>
  </sheetViews>
  <sheetFormatPr defaultRowHeight="12.75" x14ac:dyDescent="0.2"/>
  <cols>
    <col min="1" max="1" width="1.5703125" style="10" customWidth="1"/>
    <col min="2" max="2" width="16.5703125" style="10" customWidth="1"/>
    <col min="3" max="5" width="9.140625" style="10"/>
    <col min="6" max="6" width="15.42578125" style="10" customWidth="1"/>
    <col min="7" max="13" width="9.140625" style="10"/>
    <col min="14" max="14" width="14.42578125" style="10" customWidth="1"/>
    <col min="15" max="16384" width="9.140625" style="10"/>
  </cols>
  <sheetData>
    <row r="1" spans="1:14" ht="6" customHeight="1" thickBot="1" x14ac:dyDescent="0.25">
      <c r="B1" s="11"/>
      <c r="C1" s="11"/>
      <c r="D1" s="11"/>
      <c r="E1" s="11"/>
      <c r="F1" s="11"/>
      <c r="G1" s="11"/>
      <c r="H1" s="11"/>
      <c r="I1" s="11"/>
    </row>
    <row r="2" spans="1:14" ht="20.25" x14ac:dyDescent="0.3">
      <c r="A2" s="11"/>
      <c r="B2" s="234" t="s">
        <v>40</v>
      </c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6"/>
    </row>
    <row r="3" spans="1:14" ht="20.25" x14ac:dyDescent="0.3">
      <c r="A3" s="11"/>
      <c r="B3" s="237" t="s">
        <v>65</v>
      </c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9"/>
    </row>
    <row r="4" spans="1:14" ht="6.75" customHeight="1" x14ac:dyDescent="0.3">
      <c r="A4" s="11"/>
      <c r="B4" s="13"/>
      <c r="C4" s="14"/>
      <c r="D4" s="14"/>
      <c r="E4" s="14"/>
      <c r="F4" s="14"/>
      <c r="G4" s="14"/>
      <c r="H4" s="14"/>
      <c r="I4" s="14"/>
      <c r="J4" s="12"/>
      <c r="K4" s="12"/>
      <c r="L4" s="12"/>
      <c r="M4" s="15"/>
      <c r="N4" s="158"/>
    </row>
    <row r="5" spans="1:14" x14ac:dyDescent="0.2">
      <c r="B5" s="198"/>
      <c r="C5" s="199"/>
      <c r="D5" s="282" t="s">
        <v>84</v>
      </c>
      <c r="E5" s="283"/>
      <c r="F5" s="283"/>
      <c r="G5" s="282" t="s">
        <v>119</v>
      </c>
      <c r="H5" s="283"/>
      <c r="I5" s="283"/>
      <c r="J5" s="283"/>
      <c r="K5" s="245" t="s">
        <v>96</v>
      </c>
      <c r="L5" s="283"/>
      <c r="M5" s="285"/>
    </row>
    <row r="6" spans="1:14" ht="4.5" customHeight="1" thickBot="1" x14ac:dyDescent="0.25">
      <c r="A6" s="16"/>
      <c r="B6" s="17"/>
      <c r="C6" s="18"/>
      <c r="D6" s="18"/>
      <c r="E6" s="18"/>
      <c r="F6" s="18"/>
      <c r="G6" s="18"/>
      <c r="H6" s="18"/>
      <c r="I6" s="18"/>
      <c r="J6" s="12"/>
      <c r="K6" s="153"/>
      <c r="L6" s="153"/>
      <c r="M6" s="210"/>
      <c r="N6" s="158"/>
    </row>
    <row r="7" spans="1:14" ht="15.75" customHeight="1" thickBot="1" x14ac:dyDescent="0.3">
      <c r="A7" s="16"/>
      <c r="B7" s="240" t="s">
        <v>39</v>
      </c>
      <c r="C7" s="241"/>
      <c r="D7" s="18"/>
      <c r="E7" s="18"/>
      <c r="F7" s="18"/>
      <c r="G7" s="18"/>
      <c r="H7" s="19"/>
      <c r="I7" s="18"/>
      <c r="J7" s="19"/>
      <c r="K7" s="12"/>
      <c r="L7" s="12"/>
      <c r="M7" s="15"/>
    </row>
    <row r="8" spans="1:14" ht="15" customHeight="1" x14ac:dyDescent="0.25">
      <c r="A8" s="16"/>
      <c r="B8" s="87" t="s">
        <v>1</v>
      </c>
      <c r="C8" s="21" t="str">
        <f>'Data Entry'!C7</f>
        <v>UREA</v>
      </c>
      <c r="D8" s="18"/>
      <c r="E8" s="22"/>
      <c r="F8" s="23"/>
      <c r="G8" s="23"/>
      <c r="H8" s="274" t="s">
        <v>14</v>
      </c>
      <c r="I8" s="275"/>
      <c r="J8" s="275"/>
      <c r="K8" s="275"/>
      <c r="L8" s="275"/>
      <c r="M8" s="24"/>
    </row>
    <row r="9" spans="1:14" ht="15" x14ac:dyDescent="0.2">
      <c r="A9" s="16"/>
      <c r="B9" s="20" t="s">
        <v>3</v>
      </c>
      <c r="C9" s="59">
        <f>'Data Entry'!C8</f>
        <v>700</v>
      </c>
      <c r="D9" s="18"/>
      <c r="E9" s="17"/>
      <c r="F9" s="18"/>
      <c r="G9" s="18"/>
      <c r="H9" s="19"/>
      <c r="I9" s="18"/>
      <c r="J9" s="19"/>
      <c r="K9" s="12"/>
      <c r="L9" s="12"/>
      <c r="M9" s="15"/>
    </row>
    <row r="10" spans="1:14" ht="15" x14ac:dyDescent="0.25">
      <c r="A10" s="16"/>
      <c r="B10" s="20" t="s">
        <v>4</v>
      </c>
      <c r="C10" s="25">
        <f>'Data Entry'!C9</f>
        <v>46</v>
      </c>
      <c r="D10" s="18"/>
      <c r="E10" s="17"/>
      <c r="F10" s="18"/>
      <c r="G10" s="26">
        <f>J10-C14*3</f>
        <v>7.5</v>
      </c>
      <c r="H10" s="26">
        <f>J10-C14*2</f>
        <v>8</v>
      </c>
      <c r="I10" s="26">
        <f>J10-C14</f>
        <v>8.5</v>
      </c>
      <c r="J10" s="27">
        <f>'Data Entry'!F17</f>
        <v>9</v>
      </c>
      <c r="K10" s="26">
        <f>J10+C14</f>
        <v>9.5</v>
      </c>
      <c r="L10" s="26">
        <f>J10+C14*2</f>
        <v>10</v>
      </c>
      <c r="M10" s="28">
        <f>J10+C14*3</f>
        <v>10.5</v>
      </c>
    </row>
    <row r="11" spans="1:14" ht="15" x14ac:dyDescent="0.25">
      <c r="A11" s="16"/>
      <c r="B11" s="20" t="s">
        <v>5</v>
      </c>
      <c r="C11" s="61">
        <f>(C9/((C10/100)*2200))</f>
        <v>0.69169960474308301</v>
      </c>
      <c r="D11" s="18"/>
      <c r="E11" s="17"/>
      <c r="F11" s="29"/>
      <c r="G11" s="18"/>
      <c r="H11" s="18"/>
      <c r="I11" s="18"/>
      <c r="J11" s="12"/>
      <c r="K11" s="12"/>
      <c r="L11" s="12"/>
      <c r="M11" s="15"/>
    </row>
    <row r="12" spans="1:14" ht="15" x14ac:dyDescent="0.25">
      <c r="A12" s="16"/>
      <c r="B12" s="30" t="s">
        <v>20</v>
      </c>
      <c r="C12" s="31">
        <f>'Data Entry'!C11</f>
        <v>10</v>
      </c>
      <c r="D12" s="18"/>
      <c r="E12" s="32"/>
      <c r="F12" s="29"/>
      <c r="G12" s="269" t="s">
        <v>111</v>
      </c>
      <c r="H12" s="269"/>
      <c r="I12" s="269"/>
      <c r="J12" s="269"/>
      <c r="K12" s="269"/>
      <c r="L12" s="269"/>
      <c r="M12" s="270"/>
    </row>
    <row r="13" spans="1:14" ht="15.75" thickBot="1" x14ac:dyDescent="0.3">
      <c r="A13" s="16"/>
      <c r="B13" s="33" t="s">
        <v>106</v>
      </c>
      <c r="C13" s="34"/>
      <c r="D13" s="18"/>
      <c r="E13" s="35" t="s">
        <v>9</v>
      </c>
      <c r="F13" s="36" t="s">
        <v>41</v>
      </c>
      <c r="G13" s="247" t="s">
        <v>42</v>
      </c>
      <c r="H13" s="247"/>
      <c r="I13" s="247"/>
      <c r="J13" s="247"/>
      <c r="K13" s="247"/>
      <c r="L13" s="247"/>
      <c r="M13" s="248"/>
    </row>
    <row r="14" spans="1:14" ht="15" x14ac:dyDescent="0.25">
      <c r="A14" s="16"/>
      <c r="B14" s="37" t="s">
        <v>108</v>
      </c>
      <c r="C14" s="38">
        <f>'Data Entry'!C13</f>
        <v>0.5</v>
      </c>
      <c r="D14" s="18"/>
      <c r="E14" s="39" t="s">
        <v>11</v>
      </c>
      <c r="F14" s="40" t="s">
        <v>12</v>
      </c>
      <c r="G14" s="41"/>
      <c r="H14" s="41"/>
      <c r="I14" s="41"/>
      <c r="J14" s="41"/>
      <c r="K14" s="41"/>
      <c r="L14" s="41"/>
      <c r="M14" s="112"/>
    </row>
    <row r="15" spans="1:14" ht="15" x14ac:dyDescent="0.25">
      <c r="A15" s="16"/>
      <c r="B15" s="43" t="s">
        <v>28</v>
      </c>
      <c r="C15" s="34"/>
      <c r="D15" s="18"/>
      <c r="E15" s="190">
        <f>IF((E19-4*$C$12)&lt;0,0,(E19-4*$C$12))</f>
        <v>60</v>
      </c>
      <c r="F15" s="126">
        <f>IF((((-0.0005*(E15+$C$16)^2+0.2317*(E15+$C$16))-(-0.0005*($C$16)^2+0.2317*($C$16)))-((-0.0005*((E15-$C$12)+$C$16)^2+0.2317*((E15-$C$12)+$C$16))-(-0.0005*($C$16)^2+0.2317*($C$16))))&lt;0,0,((-0.0005*(E15+$C$16)^2+0.2317*(E15+$C$16))-(-0.0005*($C$16)^2+0.2317*($C$16))-((-0.0005*((E15-$C$12)+$C$16)^2+0.2317*((E15-$C$12)+$C$16))-(-0.0005*($C$16)^2+0.2317*($C$16)))))</f>
        <v>1.4669999999999987</v>
      </c>
      <c r="G15" s="201">
        <f t="shared" ref="G15:M23" si="0">($F15*G$10)/($C$12*$C$11)</f>
        <v>1.5906471428571416</v>
      </c>
      <c r="H15" s="201">
        <f t="shared" si="0"/>
        <v>1.6966902857142843</v>
      </c>
      <c r="I15" s="201">
        <f t="shared" si="0"/>
        <v>1.8027334285714269</v>
      </c>
      <c r="J15" s="201">
        <f t="shared" si="0"/>
        <v>1.9087765714285698</v>
      </c>
      <c r="K15" s="201">
        <f t="shared" si="0"/>
        <v>2.0148197142857125</v>
      </c>
      <c r="L15" s="201">
        <f t="shared" si="0"/>
        <v>2.1208628571428552</v>
      </c>
      <c r="M15" s="202">
        <f t="shared" si="0"/>
        <v>2.2269059999999983</v>
      </c>
    </row>
    <row r="16" spans="1:14" ht="15" x14ac:dyDescent="0.25">
      <c r="A16" s="16"/>
      <c r="B16" s="37" t="s">
        <v>29</v>
      </c>
      <c r="C16" s="45">
        <f>'Data Entry'!C15</f>
        <v>30</v>
      </c>
      <c r="D16" s="18"/>
      <c r="E16" s="190">
        <f>IF((E20-4*$C$12)&lt;0,0,(E20-4*$C$12))</f>
        <v>70</v>
      </c>
      <c r="F16" s="126">
        <f t="shared" ref="F16:F23" si="1">IF((((-0.0005*(E16+$C$16)^2+0.2317*(E16+$C$16))-(-0.0005*($C$16)^2+0.2317*($C$16)))-((-0.0005*((E16-$C$12)+$C$16)^2+0.2317*((E16-$C$12)+$C$16))-(-0.0005*($C$16)^2+0.2317*($C$16))))&lt;0,0,((-0.0005*(E16+$C$16)^2+0.2317*(E16+$C$16))-(-0.0005*($C$16)^2+0.2317*($C$16))-((-0.0005*((E16-$C$12)+$C$16)^2+0.2317*((E16-$C$12)+$C$16))-(-0.0005*($C$16)^2+0.2317*($C$16)))))</f>
        <v>1.3670000000000009</v>
      </c>
      <c r="G16" s="201">
        <f t="shared" si="0"/>
        <v>1.4822185714285723</v>
      </c>
      <c r="H16" s="201">
        <f t="shared" si="0"/>
        <v>1.5810331428571438</v>
      </c>
      <c r="I16" s="201">
        <f t="shared" si="0"/>
        <v>1.6798477142857153</v>
      </c>
      <c r="J16" s="201">
        <f t="shared" si="0"/>
        <v>1.7786622857142869</v>
      </c>
      <c r="K16" s="201">
        <f t="shared" si="0"/>
        <v>1.8774768571428584</v>
      </c>
      <c r="L16" s="201">
        <f t="shared" si="0"/>
        <v>1.9762914285714299</v>
      </c>
      <c r="M16" s="202">
        <f t="shared" si="0"/>
        <v>2.0751060000000012</v>
      </c>
    </row>
    <row r="17" spans="1:13" ht="15" x14ac:dyDescent="0.25">
      <c r="A17" s="16"/>
      <c r="B17" s="43" t="s">
        <v>30</v>
      </c>
      <c r="C17" s="46"/>
      <c r="D17" s="18"/>
      <c r="E17" s="190">
        <f>IF((E21-4*$C$12)&lt;0,0,(E21-4*$C$12))</f>
        <v>80</v>
      </c>
      <c r="F17" s="126">
        <f t="shared" si="1"/>
        <v>1.2669999999999995</v>
      </c>
      <c r="G17" s="201">
        <f t="shared" si="0"/>
        <v>1.3737899999999994</v>
      </c>
      <c r="H17" s="201">
        <f t="shared" si="0"/>
        <v>1.4653759999999993</v>
      </c>
      <c r="I17" s="201">
        <f t="shared" si="0"/>
        <v>1.5569619999999993</v>
      </c>
      <c r="J17" s="201">
        <f t="shared" si="0"/>
        <v>1.6485479999999992</v>
      </c>
      <c r="K17" s="201">
        <f t="shared" si="0"/>
        <v>1.7401339999999992</v>
      </c>
      <c r="L17" s="201">
        <f t="shared" si="0"/>
        <v>1.8317199999999991</v>
      </c>
      <c r="M17" s="202">
        <f t="shared" si="0"/>
        <v>1.9233059999999991</v>
      </c>
    </row>
    <row r="18" spans="1:13" ht="15.75" thickBot="1" x14ac:dyDescent="0.3">
      <c r="A18" s="16"/>
      <c r="B18" s="17"/>
      <c r="C18" s="18"/>
      <c r="D18" s="18"/>
      <c r="E18" s="193">
        <f>IF((E22-4*$C$12)&lt;0,0,(E22-4*$C$12))</f>
        <v>90</v>
      </c>
      <c r="F18" s="126">
        <f t="shared" si="1"/>
        <v>1.1670000000000016</v>
      </c>
      <c r="G18" s="201">
        <f t="shared" si="0"/>
        <v>1.2653614285714303</v>
      </c>
      <c r="H18" s="201">
        <f t="shared" si="0"/>
        <v>1.3497188571428589</v>
      </c>
      <c r="I18" s="201">
        <f t="shared" si="0"/>
        <v>1.4340762857142877</v>
      </c>
      <c r="J18" s="201">
        <f t="shared" si="0"/>
        <v>1.5184337142857163</v>
      </c>
      <c r="K18" s="201">
        <f t="shared" si="0"/>
        <v>1.6027911428571451</v>
      </c>
      <c r="L18" s="201">
        <f t="shared" si="0"/>
        <v>1.6871485714285737</v>
      </c>
      <c r="M18" s="202">
        <f t="shared" si="0"/>
        <v>1.7715060000000025</v>
      </c>
    </row>
    <row r="19" spans="1:13" ht="15.75" thickBot="1" x14ac:dyDescent="0.3">
      <c r="A19" s="16"/>
      <c r="B19" s="54"/>
      <c r="C19" s="48"/>
      <c r="D19" s="49" t="s">
        <v>13</v>
      </c>
      <c r="E19" s="50">
        <f>'Data Entry'!F12</f>
        <v>100</v>
      </c>
      <c r="F19" s="192">
        <f t="shared" si="1"/>
        <v>1.0670000000000002</v>
      </c>
      <c r="G19" s="201">
        <f t="shared" si="0"/>
        <v>1.1569328571428574</v>
      </c>
      <c r="H19" s="201">
        <f t="shared" si="0"/>
        <v>1.2340617142857144</v>
      </c>
      <c r="I19" s="201">
        <f t="shared" si="0"/>
        <v>1.3111905714285716</v>
      </c>
      <c r="J19" s="201">
        <f t="shared" si="0"/>
        <v>1.3883194285714289</v>
      </c>
      <c r="K19" s="201">
        <f t="shared" si="0"/>
        <v>1.4654482857142859</v>
      </c>
      <c r="L19" s="201">
        <f t="shared" si="0"/>
        <v>1.5425771428571431</v>
      </c>
      <c r="M19" s="202">
        <f t="shared" si="0"/>
        <v>1.6197060000000003</v>
      </c>
    </row>
    <row r="20" spans="1:13" ht="15" x14ac:dyDescent="0.25">
      <c r="A20" s="16"/>
      <c r="B20" s="17"/>
      <c r="C20" s="18"/>
      <c r="D20" s="18"/>
      <c r="E20" s="194">
        <f>E19+C12</f>
        <v>110</v>
      </c>
      <c r="F20" s="126">
        <f t="shared" si="1"/>
        <v>0.96699999999999342</v>
      </c>
      <c r="G20" s="201">
        <f t="shared" si="0"/>
        <v>1.0485042857142786</v>
      </c>
      <c r="H20" s="201">
        <f t="shared" si="0"/>
        <v>1.1184045714285638</v>
      </c>
      <c r="I20" s="201">
        <f t="shared" si="0"/>
        <v>1.1883048571428489</v>
      </c>
      <c r="J20" s="201">
        <f t="shared" si="0"/>
        <v>1.2582051428571344</v>
      </c>
      <c r="K20" s="201">
        <f t="shared" si="0"/>
        <v>1.3281054285714196</v>
      </c>
      <c r="L20" s="201">
        <f t="shared" si="0"/>
        <v>1.3980057142857047</v>
      </c>
      <c r="M20" s="202">
        <f t="shared" si="0"/>
        <v>1.4679059999999899</v>
      </c>
    </row>
    <row r="21" spans="1:13" ht="15" x14ac:dyDescent="0.25">
      <c r="A21" s="16"/>
      <c r="B21" s="17"/>
      <c r="C21" s="18"/>
      <c r="D21" s="18"/>
      <c r="E21" s="190">
        <f>E19+2*C12</f>
        <v>120</v>
      </c>
      <c r="F21" s="126">
        <f t="shared" si="1"/>
        <v>0.86700000000000443</v>
      </c>
      <c r="G21" s="201">
        <f t="shared" si="0"/>
        <v>0.94007571428571912</v>
      </c>
      <c r="H21" s="201">
        <f t="shared" si="0"/>
        <v>1.0027474285714337</v>
      </c>
      <c r="I21" s="201">
        <f t="shared" si="0"/>
        <v>1.0654191428571482</v>
      </c>
      <c r="J21" s="201">
        <f t="shared" si="0"/>
        <v>1.1280908571428629</v>
      </c>
      <c r="K21" s="201">
        <f t="shared" si="0"/>
        <v>1.1907625714285774</v>
      </c>
      <c r="L21" s="201">
        <f t="shared" si="0"/>
        <v>1.2534342857142922</v>
      </c>
      <c r="M21" s="202">
        <f t="shared" si="0"/>
        <v>1.3161060000000067</v>
      </c>
    </row>
    <row r="22" spans="1:13" ht="15" x14ac:dyDescent="0.25">
      <c r="A22" s="16"/>
      <c r="B22" s="17"/>
      <c r="C22" s="18"/>
      <c r="D22" s="18"/>
      <c r="E22" s="190">
        <f>E19+3*C12</f>
        <v>130</v>
      </c>
      <c r="F22" s="126">
        <f t="shared" si="1"/>
        <v>0.76699999999999591</v>
      </c>
      <c r="G22" s="201">
        <f t="shared" si="0"/>
        <v>0.83164714285713837</v>
      </c>
      <c r="H22" s="201">
        <f t="shared" si="0"/>
        <v>0.88709028571428095</v>
      </c>
      <c r="I22" s="201">
        <f t="shared" si="0"/>
        <v>0.94253342857142353</v>
      </c>
      <c r="J22" s="201">
        <f t="shared" si="0"/>
        <v>0.99797657142856611</v>
      </c>
      <c r="K22" s="201">
        <f t="shared" si="0"/>
        <v>1.0534197142857087</v>
      </c>
      <c r="L22" s="201">
        <f t="shared" si="0"/>
        <v>1.1088628571428512</v>
      </c>
      <c r="M22" s="202">
        <f t="shared" si="0"/>
        <v>1.1643059999999938</v>
      </c>
    </row>
    <row r="23" spans="1:13" ht="15" x14ac:dyDescent="0.25">
      <c r="A23" s="16"/>
      <c r="B23" s="17"/>
      <c r="C23" s="18"/>
      <c r="D23" s="18"/>
      <c r="E23" s="190">
        <f>E19+4*C12</f>
        <v>140</v>
      </c>
      <c r="F23" s="126">
        <f t="shared" si="1"/>
        <v>0.66700000000000159</v>
      </c>
      <c r="G23" s="201">
        <f t="shared" si="0"/>
        <v>0.72321857142857315</v>
      </c>
      <c r="H23" s="201">
        <f t="shared" si="0"/>
        <v>0.7714331428571447</v>
      </c>
      <c r="I23" s="201">
        <f t="shared" si="0"/>
        <v>0.81964771428571626</v>
      </c>
      <c r="J23" s="201">
        <f t="shared" si="0"/>
        <v>0.86786228571428781</v>
      </c>
      <c r="K23" s="201">
        <f t="shared" si="0"/>
        <v>0.91607685714285936</v>
      </c>
      <c r="L23" s="201">
        <f t="shared" si="0"/>
        <v>0.96429142857143091</v>
      </c>
      <c r="M23" s="202">
        <f t="shared" si="0"/>
        <v>1.0125060000000023</v>
      </c>
    </row>
    <row r="24" spans="1:13" ht="13.5" customHeight="1" x14ac:dyDescent="0.2">
      <c r="A24" s="16"/>
      <c r="B24" s="17"/>
      <c r="C24" s="18"/>
      <c r="D24" s="18"/>
      <c r="E24" s="78" t="s">
        <v>86</v>
      </c>
      <c r="F24" s="121"/>
      <c r="G24" s="121"/>
      <c r="H24" s="121"/>
      <c r="I24" s="12"/>
      <c r="J24" s="80"/>
      <c r="K24" s="195">
        <f>C12</f>
        <v>10</v>
      </c>
      <c r="L24" s="77" t="s">
        <v>30</v>
      </c>
      <c r="M24" s="122"/>
    </row>
    <row r="25" spans="1:13" ht="9.75" customHeight="1" x14ac:dyDescent="0.2">
      <c r="A25" s="16"/>
      <c r="B25" s="17"/>
      <c r="C25" s="18"/>
      <c r="D25" s="18"/>
      <c r="E25" s="78" t="s">
        <v>107</v>
      </c>
      <c r="F25" s="121"/>
      <c r="G25" s="121"/>
      <c r="H25" s="121"/>
      <c r="I25" s="12"/>
      <c r="J25" s="80"/>
      <c r="K25" s="80"/>
      <c r="L25" s="80"/>
      <c r="M25" s="122"/>
    </row>
    <row r="26" spans="1:13" ht="9.75" customHeight="1" x14ac:dyDescent="0.2">
      <c r="A26" s="16"/>
      <c r="B26" s="17"/>
      <c r="C26" s="18"/>
      <c r="D26" s="18"/>
      <c r="E26" s="200" t="s">
        <v>115</v>
      </c>
      <c r="F26" s="12"/>
      <c r="G26" s="121"/>
      <c r="H26" s="121"/>
      <c r="I26" s="121"/>
      <c r="J26" s="121"/>
      <c r="K26" s="121"/>
      <c r="L26" s="121"/>
      <c r="M26" s="122"/>
    </row>
    <row r="27" spans="1:13" ht="9.75" customHeight="1" thickBot="1" x14ac:dyDescent="0.25">
      <c r="A27" s="16"/>
      <c r="B27" s="17"/>
      <c r="C27" s="18"/>
      <c r="D27" s="18"/>
      <c r="E27" s="124"/>
      <c r="F27" s="123"/>
      <c r="G27" s="123"/>
      <c r="H27" s="123"/>
      <c r="I27" s="151"/>
      <c r="J27" s="119"/>
      <c r="K27" s="119"/>
      <c r="L27" s="119"/>
      <c r="M27" s="120"/>
    </row>
    <row r="28" spans="1:13" ht="11.25" customHeight="1" thickBot="1" x14ac:dyDescent="0.25">
      <c r="B28" s="252"/>
      <c r="C28" s="253"/>
      <c r="D28" s="253"/>
      <c r="E28" s="253"/>
      <c r="F28" s="253"/>
      <c r="G28" s="253"/>
      <c r="H28" s="253"/>
      <c r="I28" s="253"/>
      <c r="J28" s="55"/>
      <c r="K28" s="55"/>
      <c r="L28" s="55"/>
      <c r="M28" s="56"/>
    </row>
    <row r="32" spans="1:13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</sheetData>
  <sheetProtection password="CE5A" sheet="1" objects="1" scenarios="1"/>
  <mergeCells count="10">
    <mergeCell ref="B28:I28"/>
    <mergeCell ref="G5:J5"/>
    <mergeCell ref="D5:F5"/>
    <mergeCell ref="K5:M5"/>
    <mergeCell ref="B2:M2"/>
    <mergeCell ref="B3:M3"/>
    <mergeCell ref="B7:C7"/>
    <mergeCell ref="H8:L8"/>
    <mergeCell ref="G12:M12"/>
    <mergeCell ref="G13:M13"/>
  </mergeCells>
  <phoneticPr fontId="15" type="noConversion"/>
  <conditionalFormatting sqref="G15:M23">
    <cfRule type="cellIs" dxfId="168" priority="1" stopIfTrue="1" operator="between">
      <formula>1.25</formula>
      <formula>1.5</formula>
    </cfRule>
  </conditionalFormatting>
  <hyperlinks>
    <hyperlink ref="D5" location="'Canola (hybrid) Crop'!A1" display="Return to Canola (hybrid) as variable"/>
    <hyperlink ref="G5" location="'Canola (hybrid) Fertilizer'!A1" display="Go to Fertilizer Price as variable"/>
    <hyperlink ref="K5" location="'Data Entry'!A1" display="Return to Data Entry"/>
  </hyperlinks>
  <pageMargins left="0.75" right="0.75" top="1" bottom="1" header="0.5" footer="0.5"/>
  <pageSetup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showGridLines="0" workbookViewId="0">
      <selection activeCell="G17" sqref="G17"/>
    </sheetView>
  </sheetViews>
  <sheetFormatPr defaultRowHeight="12.75" x14ac:dyDescent="0.2"/>
  <cols>
    <col min="1" max="1" width="1.5703125" style="10" customWidth="1"/>
    <col min="2" max="2" width="17.140625" style="10" customWidth="1"/>
    <col min="3" max="3" width="9.140625" style="10"/>
    <col min="4" max="4" width="11.140625" style="10" customWidth="1"/>
    <col min="5" max="5" width="9.140625" style="10"/>
    <col min="6" max="6" width="13.5703125" style="10" customWidth="1"/>
    <col min="7" max="13" width="9.140625" style="10"/>
    <col min="14" max="14" width="29.5703125" style="10" customWidth="1"/>
    <col min="15" max="15" width="10.28515625" style="10" customWidth="1"/>
    <col min="16" max="16384" width="9.140625" style="10"/>
  </cols>
  <sheetData>
    <row r="1" spans="1:22" ht="6" customHeight="1" thickBot="1" x14ac:dyDescent="0.25">
      <c r="B1" s="11"/>
      <c r="C1" s="11"/>
      <c r="D1" s="11"/>
      <c r="E1" s="11"/>
      <c r="F1" s="11"/>
      <c r="G1" s="11"/>
      <c r="H1" s="11"/>
      <c r="I1" s="11"/>
    </row>
    <row r="2" spans="1:22" ht="20.25" x14ac:dyDescent="0.3">
      <c r="A2" s="11"/>
      <c r="B2" s="234" t="s">
        <v>40</v>
      </c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6"/>
    </row>
    <row r="3" spans="1:22" ht="20.25" x14ac:dyDescent="0.3">
      <c r="A3" s="11"/>
      <c r="B3" s="237" t="s">
        <v>47</v>
      </c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9"/>
    </row>
    <row r="4" spans="1:22" ht="6.75" customHeight="1" x14ac:dyDescent="0.3">
      <c r="A4" s="11"/>
      <c r="B4" s="13"/>
      <c r="C4" s="14"/>
      <c r="D4" s="14"/>
      <c r="E4" s="14"/>
      <c r="F4" s="14"/>
      <c r="G4" s="14"/>
      <c r="H4" s="14"/>
      <c r="I4" s="14"/>
      <c r="J4" s="12"/>
      <c r="K4" s="12"/>
      <c r="L4" s="12"/>
      <c r="M4" s="15"/>
      <c r="N4" s="163"/>
    </row>
    <row r="5" spans="1:22" x14ac:dyDescent="0.2">
      <c r="B5" s="198"/>
      <c r="C5" s="199"/>
      <c r="D5" s="233" t="s">
        <v>76</v>
      </c>
      <c r="E5" s="283"/>
      <c r="F5" s="283"/>
      <c r="G5" s="233" t="s">
        <v>69</v>
      </c>
      <c r="H5" s="283"/>
      <c r="I5" s="283"/>
      <c r="J5" s="283"/>
      <c r="K5" s="245" t="s">
        <v>96</v>
      </c>
      <c r="L5" s="283"/>
      <c r="M5" s="285"/>
    </row>
    <row r="6" spans="1:22" ht="4.5" customHeight="1" thickBot="1" x14ac:dyDescent="0.25">
      <c r="A6" s="16"/>
      <c r="B6" s="17"/>
      <c r="C6" s="18"/>
      <c r="D6" s="18"/>
      <c r="E6" s="18"/>
      <c r="F6" s="18"/>
      <c r="G6" s="18"/>
      <c r="H6" s="18"/>
      <c r="I6" s="18"/>
      <c r="J6" s="12"/>
      <c r="K6" s="12"/>
      <c r="L6" s="12"/>
      <c r="M6" s="15"/>
      <c r="N6" s="163"/>
    </row>
    <row r="7" spans="1:22" ht="15.75" customHeight="1" thickBot="1" x14ac:dyDescent="0.3">
      <c r="A7" s="16"/>
      <c r="B7" s="240" t="s">
        <v>61</v>
      </c>
      <c r="C7" s="241"/>
      <c r="E7" s="18"/>
      <c r="F7" s="18"/>
      <c r="G7" s="18"/>
      <c r="H7" s="19"/>
      <c r="I7" s="18"/>
      <c r="J7" s="19"/>
      <c r="K7" s="12"/>
      <c r="L7" s="12"/>
      <c r="M7" s="15"/>
      <c r="N7" s="12"/>
    </row>
    <row r="8" spans="1:22" ht="15" customHeight="1" x14ac:dyDescent="0.25">
      <c r="A8" s="16"/>
      <c r="B8" s="87" t="s">
        <v>58</v>
      </c>
      <c r="C8" s="21" t="s">
        <v>59</v>
      </c>
      <c r="D8" s="18"/>
      <c r="E8" s="62"/>
      <c r="F8" s="63"/>
      <c r="G8" s="63"/>
      <c r="H8" s="242" t="s">
        <v>63</v>
      </c>
      <c r="I8" s="243"/>
      <c r="J8" s="243"/>
      <c r="K8" s="243"/>
      <c r="L8" s="243"/>
      <c r="M8" s="64"/>
      <c r="N8" s="12"/>
    </row>
    <row r="9" spans="1:22" ht="14.25" x14ac:dyDescent="0.2">
      <c r="A9" s="16"/>
      <c r="B9" s="20" t="s">
        <v>60</v>
      </c>
      <c r="C9" s="83">
        <f>'Data Entry'!F14</f>
        <v>5</v>
      </c>
      <c r="D9" s="18"/>
      <c r="E9" s="65"/>
      <c r="F9" s="66"/>
      <c r="M9" s="15"/>
      <c r="N9" s="12"/>
    </row>
    <row r="10" spans="1:22" ht="15" x14ac:dyDescent="0.25">
      <c r="A10" s="16"/>
      <c r="B10" s="30" t="s">
        <v>20</v>
      </c>
      <c r="C10" s="106">
        <f>'Data Entry'!C11</f>
        <v>10</v>
      </c>
      <c r="D10" s="18"/>
      <c r="E10" s="65"/>
      <c r="F10" s="66"/>
      <c r="G10" s="108">
        <f>H10-$C$12</f>
        <v>550</v>
      </c>
      <c r="H10" s="108">
        <f>I10-$C$12</f>
        <v>600</v>
      </c>
      <c r="I10" s="108">
        <f>J10-$C$12</f>
        <v>650</v>
      </c>
      <c r="J10" s="109">
        <f>'Data Entry'!C8</f>
        <v>700</v>
      </c>
      <c r="K10" s="108">
        <f>J10+$C$12</f>
        <v>750</v>
      </c>
      <c r="L10" s="108">
        <f>K10+$C$12</f>
        <v>800</v>
      </c>
      <c r="M10" s="110">
        <f>L10+$C$12</f>
        <v>850</v>
      </c>
      <c r="N10" s="12"/>
    </row>
    <row r="11" spans="1:22" ht="15" x14ac:dyDescent="0.25">
      <c r="A11" s="16"/>
      <c r="B11" s="33" t="s">
        <v>106</v>
      </c>
      <c r="C11" s="46"/>
      <c r="D11" s="18"/>
      <c r="E11" s="65"/>
      <c r="F11" s="70" t="s">
        <v>6</v>
      </c>
      <c r="G11" s="66"/>
      <c r="H11" s="66"/>
      <c r="I11" s="66"/>
      <c r="J11" s="68"/>
      <c r="K11" s="68"/>
      <c r="L11" s="68"/>
      <c r="M11" s="69"/>
      <c r="N11" s="12"/>
    </row>
    <row r="12" spans="1:22" ht="15" x14ac:dyDescent="0.25">
      <c r="A12" s="16"/>
      <c r="B12" s="37" t="s">
        <v>56</v>
      </c>
      <c r="C12" s="118">
        <f>'Data Entry'!C17</f>
        <v>50</v>
      </c>
      <c r="D12" s="18"/>
      <c r="E12" s="71"/>
      <c r="F12" s="70" t="s">
        <v>7</v>
      </c>
      <c r="G12" s="229" t="s">
        <v>8</v>
      </c>
      <c r="H12" s="229"/>
      <c r="I12" s="229"/>
      <c r="J12" s="229"/>
      <c r="K12" s="229"/>
      <c r="L12" s="229"/>
      <c r="M12" s="230"/>
      <c r="N12" s="12"/>
    </row>
    <row r="13" spans="1:22" ht="15.75" thickBot="1" x14ac:dyDescent="0.3">
      <c r="A13" s="16"/>
      <c r="B13" s="43" t="s">
        <v>28</v>
      </c>
      <c r="C13" s="46"/>
      <c r="D13" s="18"/>
      <c r="E13" s="72" t="s">
        <v>9</v>
      </c>
      <c r="F13" s="73" t="s">
        <v>10</v>
      </c>
      <c r="G13" s="247" t="s">
        <v>18</v>
      </c>
      <c r="H13" s="247"/>
      <c r="I13" s="247"/>
      <c r="J13" s="247"/>
      <c r="K13" s="247"/>
      <c r="L13" s="247"/>
      <c r="M13" s="248"/>
      <c r="N13" s="12"/>
    </row>
    <row r="14" spans="1:22" ht="15" x14ac:dyDescent="0.25">
      <c r="A14" s="16"/>
      <c r="B14" s="37" t="s">
        <v>29</v>
      </c>
      <c r="C14" s="107">
        <f>'Data Entry'!C15</f>
        <v>30</v>
      </c>
      <c r="D14" s="18"/>
      <c r="E14" s="84" t="s">
        <v>11</v>
      </c>
      <c r="F14" s="85" t="s">
        <v>12</v>
      </c>
      <c r="G14" s="111">
        <f>'Data Entry'!$F$14/(G$10/(('Data Entry'!$C$9/100)*2200))</f>
        <v>9.2000000000000011</v>
      </c>
      <c r="H14" s="111">
        <f>'Data Entry'!$F$14/(H$10/(('Data Entry'!$C$9/100)*2200))</f>
        <v>8.4333333333333336</v>
      </c>
      <c r="I14" s="111">
        <f>'Data Entry'!$F$14/(I$10/(('Data Entry'!$C$9/100)*2200))</f>
        <v>7.7846153846153854</v>
      </c>
      <c r="J14" s="111">
        <f>'Data Entry'!$F$14/(J$10/(('Data Entry'!$C$9/100)*2200))</f>
        <v>7.2285714285714286</v>
      </c>
      <c r="K14" s="111">
        <f>'Data Entry'!$F$14/(K$10/(('Data Entry'!$C$9/100)*2200))</f>
        <v>6.7466666666666661</v>
      </c>
      <c r="L14" s="111">
        <f>'Data Entry'!$F$14/(L$10/(('Data Entry'!$C$9/100)*2200))</f>
        <v>6.3250000000000002</v>
      </c>
      <c r="M14" s="112">
        <f>'Data Entry'!$F$14/(M$10/(('Data Entry'!$C$9/100)*2200))</f>
        <v>5.9529411764705884</v>
      </c>
      <c r="N14"/>
      <c r="O14"/>
      <c r="P14"/>
      <c r="Q14"/>
      <c r="R14"/>
      <c r="S14"/>
      <c r="T14"/>
      <c r="U14"/>
      <c r="V14"/>
    </row>
    <row r="15" spans="1:22" ht="15" x14ac:dyDescent="0.25">
      <c r="A15" s="16"/>
      <c r="B15" s="43" t="s">
        <v>30</v>
      </c>
      <c r="C15" s="46"/>
      <c r="D15" s="18"/>
      <c r="E15" s="190">
        <f>IF((E19-4*$C$10)&lt;0,0,(E19-4*$C$10))</f>
        <v>50</v>
      </c>
      <c r="F15" s="126">
        <f t="shared" ref="F15:F23" si="0">IF(((-0.0015*(E15+$C$14)^2 + 0.4902*(E15+$C$14))-(-0.0015*($C$14)^2 + 0.4902*($C$14)))&lt;0,0,(-0.0015*(E15+$C$14)^2 + 0.4902*(E15+$C$14))-(-0.0015*($C$14)^2 + 0.4902*($C$14)))</f>
        <v>16.259999999999998</v>
      </c>
      <c r="G15" s="135">
        <f>('Data Entry'!$F$14*$F15)-(G$10/(('Data Entry'!$C$9/100)*2200))*($E15)</f>
        <v>54.126086956521725</v>
      </c>
      <c r="H15" s="135">
        <f>('Data Entry'!$F$14*$F15)-(H$10/(('Data Entry'!$C$9/100)*2200))*($E15)</f>
        <v>51.655731225296421</v>
      </c>
      <c r="I15" s="135">
        <f>('Data Entry'!$F$14*$F15)-(I$10/(('Data Entry'!$C$9/100)*2200))*($E15)</f>
        <v>49.185375494071131</v>
      </c>
      <c r="J15" s="135">
        <f>('Data Entry'!$F$14*$F15)-(J$10/(('Data Entry'!$C$9/100)*2200))*($E15)</f>
        <v>46.715019762845834</v>
      </c>
      <c r="K15" s="135">
        <f>('Data Entry'!$F$14*$F15)-(K$10/(('Data Entry'!$C$9/100)*2200))*($E15)</f>
        <v>44.24466403162053</v>
      </c>
      <c r="L15" s="135">
        <f>('Data Entry'!$F$14*$F15)-(L$10/(('Data Entry'!$C$9/100)*2200))*($E15)</f>
        <v>41.774308300395241</v>
      </c>
      <c r="M15" s="136">
        <f>('Data Entry'!$F$14*$F15)-(M$10/(('Data Entry'!$C$9/100)*2200))*($E15)</f>
        <v>39.303952569169944</v>
      </c>
      <c r="N15"/>
      <c r="O15"/>
      <c r="P15"/>
      <c r="Q15"/>
      <c r="R15"/>
      <c r="S15"/>
      <c r="T15"/>
      <c r="U15"/>
      <c r="V15"/>
    </row>
    <row r="16" spans="1:22" ht="15" x14ac:dyDescent="0.25">
      <c r="A16" s="16"/>
      <c r="B16" s="86"/>
      <c r="D16" s="18"/>
      <c r="E16" s="190">
        <f>IF((E20-4*$C$10)&lt;0,0,(E20-4*$C$10))</f>
        <v>60</v>
      </c>
      <c r="F16" s="126">
        <f t="shared" si="0"/>
        <v>18.612000000000002</v>
      </c>
      <c r="G16" s="135">
        <f>('Data Entry'!$F$14*$F16)-(G$10/(('Data Entry'!$C$9/100)*2200))*($E16)</f>
        <v>60.451304347826088</v>
      </c>
      <c r="H16" s="135">
        <f>('Data Entry'!$F$14*$F16)-(H$10/(('Data Entry'!$C$9/100)*2200))*($E16)</f>
        <v>57.486877470355729</v>
      </c>
      <c r="I16" s="135">
        <f>('Data Entry'!$F$14*$F16)-(I$10/(('Data Entry'!$C$9/100)*2200))*($E16)</f>
        <v>54.522450592885377</v>
      </c>
      <c r="J16" s="135">
        <f>('Data Entry'!$F$14*$F16)-(J$10/(('Data Entry'!$C$9/100)*2200))*($E16)</f>
        <v>51.558023715415018</v>
      </c>
      <c r="K16" s="135">
        <f>('Data Entry'!$F$14*$F16)-(K$10/(('Data Entry'!$C$9/100)*2200))*($E16)</f>
        <v>48.593596837944666</v>
      </c>
      <c r="L16" s="135">
        <f>('Data Entry'!$F$14*$F16)-(L$10/(('Data Entry'!$C$9/100)*2200))*($E16)</f>
        <v>45.629169960474314</v>
      </c>
      <c r="M16" s="136">
        <f>('Data Entry'!$F$14*$F16)-(M$10/(('Data Entry'!$C$9/100)*2200))*($E16)</f>
        <v>42.664743083003955</v>
      </c>
      <c r="N16"/>
      <c r="O16"/>
      <c r="P16"/>
      <c r="Q16"/>
      <c r="R16"/>
      <c r="S16"/>
      <c r="T16"/>
      <c r="U16"/>
      <c r="V16"/>
    </row>
    <row r="17" spans="1:22" ht="15" x14ac:dyDescent="0.25">
      <c r="A17" s="16"/>
      <c r="B17" s="54"/>
      <c r="D17" s="18"/>
      <c r="E17" s="190">
        <f>IF((E21-4*$C$10)&lt;0,0,(E21-4*$C$10))</f>
        <v>70</v>
      </c>
      <c r="F17" s="126">
        <f t="shared" si="0"/>
        <v>20.664000000000001</v>
      </c>
      <c r="G17" s="135">
        <f>('Data Entry'!$F$14*$F17)-(G$10/(('Data Entry'!$C$9/100)*2200))*($E17)</f>
        <v>65.276521739130445</v>
      </c>
      <c r="H17" s="135">
        <f>('Data Entry'!$F$14*$F17)-(H$10/(('Data Entry'!$C$9/100)*2200))*($E17)</f>
        <v>61.818023715415023</v>
      </c>
      <c r="I17" s="135">
        <f>('Data Entry'!$F$14*$F17)-(I$10/(('Data Entry'!$C$9/100)*2200))*($E17)</f>
        <v>58.359525691699616</v>
      </c>
      <c r="J17" s="135">
        <f>('Data Entry'!$F$14*$F17)-(J$10/(('Data Entry'!$C$9/100)*2200))*($E17)</f>
        <v>54.901027667984195</v>
      </c>
      <c r="K17" s="135">
        <f>('Data Entry'!$F$14*$F17)-(K$10/(('Data Entry'!$C$9/100)*2200))*($E17)</f>
        <v>51.442529644268781</v>
      </c>
      <c r="L17" s="135">
        <f>('Data Entry'!$F$14*$F17)-(L$10/(('Data Entry'!$C$9/100)*2200))*($E17)</f>
        <v>47.984031620553367</v>
      </c>
      <c r="M17" s="136">
        <f>('Data Entry'!$F$14*$F17)-(M$10/(('Data Entry'!$C$9/100)*2200))*($E17)</f>
        <v>44.525533596837953</v>
      </c>
      <c r="N17"/>
      <c r="O17"/>
      <c r="P17"/>
      <c r="Q17"/>
      <c r="R17"/>
      <c r="S17"/>
      <c r="T17"/>
      <c r="U17"/>
      <c r="V17"/>
    </row>
    <row r="18" spans="1:22" ht="15.75" thickBot="1" x14ac:dyDescent="0.3">
      <c r="A18" s="16"/>
      <c r="B18" s="17"/>
      <c r="C18" s="18"/>
      <c r="D18" s="18"/>
      <c r="E18" s="193">
        <f>IF((E22-4*$C$10)&lt;0,0,(E22-4*$C$10))</f>
        <v>80</v>
      </c>
      <c r="F18" s="126">
        <f t="shared" si="0"/>
        <v>22.416000000000004</v>
      </c>
      <c r="G18" s="135">
        <f>('Data Entry'!$F$14*$F18)-(G$10/(('Data Entry'!$C$9/100)*2200))*($E18)</f>
        <v>68.601739130434794</v>
      </c>
      <c r="H18" s="135">
        <f>('Data Entry'!$F$14*$F18)-(H$10/(('Data Entry'!$C$9/100)*2200))*($E18)</f>
        <v>64.649169960474325</v>
      </c>
      <c r="I18" s="135">
        <f>('Data Entry'!$F$14*$F18)-(I$10/(('Data Entry'!$C$9/100)*2200))*($E18)</f>
        <v>60.696600790513848</v>
      </c>
      <c r="J18" s="135">
        <f>('Data Entry'!$F$14*$F18)-(J$10/(('Data Entry'!$C$9/100)*2200))*($E18)</f>
        <v>56.744031620553372</v>
      </c>
      <c r="K18" s="135">
        <f>('Data Entry'!$F$14*$F18)-(K$10/(('Data Entry'!$C$9/100)*2200))*($E18)</f>
        <v>52.791462450592896</v>
      </c>
      <c r="L18" s="135">
        <f>('Data Entry'!$F$14*$F18)-(L$10/(('Data Entry'!$C$9/100)*2200))*($E18)</f>
        <v>48.838893280632426</v>
      </c>
      <c r="M18" s="136">
        <f>('Data Entry'!$F$14*$F18)-(M$10/(('Data Entry'!$C$9/100)*2200))*($E18)</f>
        <v>44.88632411067195</v>
      </c>
      <c r="N18"/>
      <c r="O18"/>
      <c r="P18"/>
      <c r="Q18"/>
      <c r="R18"/>
      <c r="S18"/>
      <c r="T18"/>
      <c r="U18"/>
      <c r="V18"/>
    </row>
    <row r="19" spans="1:22" ht="15.75" thickBot="1" x14ac:dyDescent="0.3">
      <c r="A19" s="16"/>
      <c r="B19" s="47"/>
      <c r="C19" s="48"/>
      <c r="D19" s="49" t="s">
        <v>13</v>
      </c>
      <c r="E19" s="50">
        <f>'Data Entry'!F9</f>
        <v>90</v>
      </c>
      <c r="F19" s="192">
        <f t="shared" si="0"/>
        <v>23.868000000000002</v>
      </c>
      <c r="G19" s="135">
        <f>('Data Entry'!$F$14*$F19)-(G$10/(('Data Entry'!$C$9/100)*2200))*($E19)</f>
        <v>70.426956521739129</v>
      </c>
      <c r="H19" s="135">
        <f>('Data Entry'!$F$14*$F19)-(H$10/(('Data Entry'!$C$9/100)*2200))*($E19)</f>
        <v>65.980316205533597</v>
      </c>
      <c r="I19" s="135">
        <f>('Data Entry'!$F$14*$F19)-(I$10/(('Data Entry'!$C$9/100)*2200))*($E19)</f>
        <v>61.533675889328073</v>
      </c>
      <c r="J19" s="135">
        <f>('Data Entry'!$F$14*$F19)-(J$10/(('Data Entry'!$C$9/100)*2200))*($E19)</f>
        <v>57.087035573122535</v>
      </c>
      <c r="K19" s="135">
        <f>('Data Entry'!$F$14*$F19)-(K$10/(('Data Entry'!$C$9/100)*2200))*($E19)</f>
        <v>52.640395256916989</v>
      </c>
      <c r="L19" s="135">
        <f>('Data Entry'!$F$14*$F19)-(L$10/(('Data Entry'!$C$9/100)*2200))*($E19)</f>
        <v>48.193754940711472</v>
      </c>
      <c r="M19" s="136">
        <f>('Data Entry'!$F$14*$F19)-(M$10/(('Data Entry'!$C$9/100)*2200))*($E19)</f>
        <v>43.747114624505926</v>
      </c>
      <c r="N19"/>
      <c r="O19"/>
      <c r="P19"/>
      <c r="Q19"/>
      <c r="R19"/>
      <c r="S19"/>
      <c r="T19"/>
      <c r="U19"/>
      <c r="V19"/>
    </row>
    <row r="20" spans="1:22" ht="15" x14ac:dyDescent="0.25">
      <c r="A20" s="16"/>
      <c r="B20" s="17"/>
      <c r="C20" s="18"/>
      <c r="D20" s="18"/>
      <c r="E20" s="194">
        <f>E19+C10</f>
        <v>100</v>
      </c>
      <c r="F20" s="126">
        <f t="shared" si="0"/>
        <v>25.020000000000003</v>
      </c>
      <c r="G20" s="135">
        <f>('Data Entry'!$F$14*$F20)-(G$10/(('Data Entry'!$C$9/100)*2200))*($E20)</f>
        <v>70.752173913043507</v>
      </c>
      <c r="H20" s="135">
        <f>('Data Entry'!$F$14*$F20)-(H$10/(('Data Entry'!$C$9/100)*2200))*($E20)</f>
        <v>65.811462450592899</v>
      </c>
      <c r="I20" s="135">
        <f>('Data Entry'!$F$14*$F20)-(I$10/(('Data Entry'!$C$9/100)*2200))*($E20)</f>
        <v>60.870750988142319</v>
      </c>
      <c r="J20" s="135">
        <f>('Data Entry'!$F$14*$F20)-(J$10/(('Data Entry'!$C$9/100)*2200))*($E20)</f>
        <v>55.930039525691726</v>
      </c>
      <c r="K20" s="135">
        <f>('Data Entry'!$F$14*$F20)-(K$10/(('Data Entry'!$C$9/100)*2200))*($E20)</f>
        <v>50.989328063241118</v>
      </c>
      <c r="L20" s="135">
        <f>('Data Entry'!$F$14*$F20)-(L$10/(('Data Entry'!$C$9/100)*2200))*($E20)</f>
        <v>46.048616600790538</v>
      </c>
      <c r="M20" s="136">
        <f>('Data Entry'!$F$14*$F20)-(M$10/(('Data Entry'!$C$9/100)*2200))*($E20)</f>
        <v>41.107905138339945</v>
      </c>
      <c r="N20"/>
      <c r="O20"/>
      <c r="P20"/>
      <c r="Q20"/>
      <c r="R20"/>
      <c r="S20"/>
      <c r="T20"/>
      <c r="U20"/>
      <c r="V20"/>
    </row>
    <row r="21" spans="1:22" ht="15" x14ac:dyDescent="0.25">
      <c r="A21" s="16"/>
      <c r="B21" s="17"/>
      <c r="C21" s="52"/>
      <c r="D21" s="18"/>
      <c r="E21" s="190">
        <f>E19+2*C10</f>
        <v>110</v>
      </c>
      <c r="F21" s="126">
        <f t="shared" si="0"/>
        <v>25.871999999999993</v>
      </c>
      <c r="G21" s="135">
        <f>('Data Entry'!$F$14*$F21)-(G$10/(('Data Entry'!$C$9/100)*2200))*($E21)</f>
        <v>69.577391304347785</v>
      </c>
      <c r="H21" s="135">
        <f>('Data Entry'!$F$14*$F21)-(H$10/(('Data Entry'!$C$9/100)*2200))*($E21)</f>
        <v>64.142608695652129</v>
      </c>
      <c r="I21" s="135">
        <f>('Data Entry'!$F$14*$F21)-(I$10/(('Data Entry'!$C$9/100)*2200))*($E21)</f>
        <v>58.707826086956487</v>
      </c>
      <c r="J21" s="135">
        <f>('Data Entry'!$F$14*$F21)-(J$10/(('Data Entry'!$C$9/100)*2200))*($E21)</f>
        <v>53.273043478260831</v>
      </c>
      <c r="K21" s="135">
        <f>('Data Entry'!$F$14*$F21)-(K$10/(('Data Entry'!$C$9/100)*2200))*($E21)</f>
        <v>47.838260869565175</v>
      </c>
      <c r="L21" s="135">
        <f>('Data Entry'!$F$14*$F21)-(L$10/(('Data Entry'!$C$9/100)*2200))*($E21)</f>
        <v>42.40347826086952</v>
      </c>
      <c r="M21" s="136">
        <f>('Data Entry'!$F$14*$F21)-(M$10/(('Data Entry'!$C$9/100)*2200))*($E21)</f>
        <v>36.968695652173864</v>
      </c>
      <c r="N21"/>
      <c r="O21"/>
      <c r="P21"/>
      <c r="Q21"/>
      <c r="R21"/>
      <c r="S21"/>
      <c r="T21"/>
      <c r="U21"/>
      <c r="V21"/>
    </row>
    <row r="22" spans="1:22" ht="15" x14ac:dyDescent="0.25">
      <c r="A22" s="16"/>
      <c r="B22" s="17"/>
      <c r="C22" s="18"/>
      <c r="D22" s="18"/>
      <c r="E22" s="190">
        <f>E19+3*C10</f>
        <v>120</v>
      </c>
      <c r="F22" s="126">
        <f t="shared" si="0"/>
        <v>26.423999999999999</v>
      </c>
      <c r="G22" s="135">
        <f>('Data Entry'!$F$14*$F22)-(G$10/(('Data Entry'!$C$9/100)*2200))*($E22)</f>
        <v>66.902608695652177</v>
      </c>
      <c r="H22" s="135">
        <f>('Data Entry'!$F$14*$F22)-(H$10/(('Data Entry'!$C$9/100)*2200))*($E22)</f>
        <v>60.973754940711459</v>
      </c>
      <c r="I22" s="135">
        <f>('Data Entry'!$F$14*$F22)-(I$10/(('Data Entry'!$C$9/100)*2200))*($E22)</f>
        <v>55.044901185770755</v>
      </c>
      <c r="J22" s="135">
        <f>('Data Entry'!$F$14*$F22)-(J$10/(('Data Entry'!$C$9/100)*2200))*($E22)</f>
        <v>49.116047430830037</v>
      </c>
      <c r="K22" s="135">
        <f>('Data Entry'!$F$14*$F22)-(K$10/(('Data Entry'!$C$9/100)*2200))*($E22)</f>
        <v>43.187193675889333</v>
      </c>
      <c r="L22" s="135">
        <f>('Data Entry'!$F$14*$F22)-(L$10/(('Data Entry'!$C$9/100)*2200))*($E22)</f>
        <v>37.258339920948629</v>
      </c>
      <c r="M22" s="136">
        <f>('Data Entry'!$F$14*$F22)-(M$10/(('Data Entry'!$C$9/100)*2200))*($E22)</f>
        <v>31.329486166007911</v>
      </c>
      <c r="N22"/>
      <c r="O22"/>
      <c r="P22"/>
      <c r="Q22"/>
      <c r="R22"/>
      <c r="S22"/>
      <c r="T22"/>
      <c r="U22"/>
      <c r="V22"/>
    </row>
    <row r="23" spans="1:22" ht="15" x14ac:dyDescent="0.25">
      <c r="A23" s="16"/>
      <c r="B23" s="17"/>
      <c r="C23" s="18"/>
      <c r="D23" s="18"/>
      <c r="E23" s="190">
        <f>E19+4*C10</f>
        <v>130</v>
      </c>
      <c r="F23" s="126">
        <f t="shared" si="0"/>
        <v>26.676000000000002</v>
      </c>
      <c r="G23" s="135">
        <f>('Data Entry'!$F$14*$F23)-(G$10/(('Data Entry'!$C$9/100)*2200))*($E23)</f>
        <v>62.727826086956526</v>
      </c>
      <c r="H23" s="135">
        <f>('Data Entry'!$F$14*$F23)-(H$10/(('Data Entry'!$C$9/100)*2200))*($E23)</f>
        <v>56.304901185770746</v>
      </c>
      <c r="I23" s="135">
        <f>('Data Entry'!$F$14*$F23)-(I$10/(('Data Entry'!$C$9/100)*2200))*($E23)</f>
        <v>49.881976284584979</v>
      </c>
      <c r="J23" s="135">
        <f>('Data Entry'!$F$14*$F23)-(J$10/(('Data Entry'!$C$9/100)*2200))*($E23)</f>
        <v>43.459051383399199</v>
      </c>
      <c r="K23" s="135">
        <f>('Data Entry'!$F$14*$F23)-(K$10/(('Data Entry'!$C$9/100)*2200))*($E23)</f>
        <v>37.036126482213433</v>
      </c>
      <c r="L23" s="135">
        <f>('Data Entry'!$F$14*$F23)-(L$10/(('Data Entry'!$C$9/100)*2200))*($E23)</f>
        <v>30.613201581027667</v>
      </c>
      <c r="M23" s="136">
        <f>('Data Entry'!$F$14*$F23)-(M$10/(('Data Entry'!$C$9/100)*2200))*($E23)</f>
        <v>24.190276679841887</v>
      </c>
      <c r="N23"/>
      <c r="O23"/>
      <c r="P23"/>
      <c r="Q23"/>
      <c r="R23"/>
      <c r="S23"/>
      <c r="T23"/>
      <c r="U23"/>
      <c r="V23"/>
    </row>
    <row r="24" spans="1:22" ht="11.25" customHeight="1" x14ac:dyDescent="0.2">
      <c r="A24" s="16"/>
      <c r="B24" s="17"/>
      <c r="C24" s="18"/>
      <c r="D24" s="18"/>
      <c r="E24" s="254" t="s">
        <v>50</v>
      </c>
      <c r="F24" s="255"/>
      <c r="G24" s="250"/>
      <c r="H24" s="250"/>
      <c r="I24" s="250"/>
      <c r="J24" s="250"/>
      <c r="K24" s="250"/>
      <c r="L24" s="250"/>
      <c r="M24" s="251"/>
      <c r="N24"/>
      <c r="O24"/>
      <c r="P24"/>
      <c r="Q24"/>
      <c r="R24"/>
      <c r="S24"/>
      <c r="T24"/>
      <c r="U24"/>
      <c r="V24"/>
    </row>
    <row r="25" spans="1:22" ht="11.25" customHeight="1" x14ac:dyDescent="0.2">
      <c r="A25" s="16"/>
      <c r="B25" s="17"/>
      <c r="C25" s="18"/>
      <c r="D25" s="18"/>
      <c r="E25" s="254" t="s">
        <v>16</v>
      </c>
      <c r="F25" s="255"/>
      <c r="G25" s="255"/>
      <c r="H25" s="255"/>
      <c r="I25" s="255"/>
      <c r="J25" s="255"/>
      <c r="K25" s="255"/>
      <c r="L25" s="255"/>
      <c r="M25" s="256"/>
      <c r="N25"/>
      <c r="O25"/>
      <c r="P25"/>
      <c r="Q25"/>
      <c r="R25"/>
      <c r="S25"/>
      <c r="T25"/>
      <c r="U25"/>
      <c r="V25"/>
    </row>
    <row r="26" spans="1:22" ht="11.25" customHeight="1" x14ac:dyDescent="0.2">
      <c r="A26" s="16"/>
      <c r="B26" s="17"/>
      <c r="C26" s="18"/>
      <c r="D26" s="18"/>
      <c r="E26" s="254" t="s">
        <v>19</v>
      </c>
      <c r="F26" s="255"/>
      <c r="G26" s="255"/>
      <c r="H26" s="255"/>
      <c r="I26" s="255"/>
      <c r="J26" s="255"/>
      <c r="K26" s="255"/>
      <c r="L26" s="255"/>
      <c r="M26" s="256"/>
      <c r="N26"/>
      <c r="O26"/>
      <c r="P26"/>
      <c r="Q26"/>
      <c r="R26"/>
      <c r="S26"/>
      <c r="T26"/>
      <c r="U26"/>
      <c r="V26"/>
    </row>
    <row r="27" spans="1:22" ht="11.25" customHeight="1" x14ac:dyDescent="0.2">
      <c r="A27" s="16"/>
      <c r="B27" s="17"/>
      <c r="C27" s="18"/>
      <c r="D27" s="18"/>
      <c r="E27" s="262" t="s">
        <v>85</v>
      </c>
      <c r="F27" s="287"/>
      <c r="G27" s="287"/>
      <c r="H27" s="287"/>
      <c r="I27" s="287"/>
      <c r="J27" s="287"/>
      <c r="K27" s="287"/>
      <c r="L27" s="287"/>
      <c r="M27" s="246"/>
      <c r="N27"/>
      <c r="O27"/>
      <c r="P27"/>
      <c r="Q27"/>
      <c r="R27"/>
      <c r="S27"/>
      <c r="T27"/>
      <c r="U27"/>
      <c r="V27"/>
    </row>
    <row r="28" spans="1:22" ht="11.25" customHeight="1" thickBot="1" x14ac:dyDescent="0.25">
      <c r="A28" s="16"/>
      <c r="B28" s="17"/>
      <c r="C28" s="18"/>
      <c r="D28" s="18"/>
      <c r="E28" s="257" t="s">
        <v>38</v>
      </c>
      <c r="F28" s="259"/>
      <c r="G28" s="259"/>
      <c r="H28" s="259"/>
      <c r="I28" s="259"/>
      <c r="J28" s="260"/>
      <c r="K28" s="260"/>
      <c r="L28" s="260"/>
      <c r="M28" s="261"/>
      <c r="N28"/>
      <c r="O28"/>
      <c r="P28"/>
      <c r="Q28"/>
      <c r="R28"/>
      <c r="S28"/>
      <c r="T28"/>
      <c r="U28"/>
      <c r="V28"/>
    </row>
    <row r="29" spans="1:22" ht="11.25" customHeight="1" x14ac:dyDescent="0.2">
      <c r="A29" s="16"/>
      <c r="B29" s="17"/>
      <c r="C29" s="18"/>
      <c r="D29" s="18"/>
      <c r="E29" s="53"/>
      <c r="F29" s="53"/>
      <c r="G29" s="53"/>
      <c r="H29" s="53"/>
      <c r="I29" s="53"/>
      <c r="J29" s="12"/>
      <c r="K29" s="12"/>
      <c r="L29" s="12"/>
      <c r="M29" s="15"/>
      <c r="N29"/>
      <c r="O29"/>
      <c r="P29"/>
      <c r="Q29"/>
      <c r="R29"/>
      <c r="S29"/>
      <c r="T29"/>
      <c r="U29"/>
      <c r="V29"/>
    </row>
    <row r="30" spans="1:22" ht="11.25" customHeight="1" thickBot="1" x14ac:dyDescent="0.25">
      <c r="B30" s="252"/>
      <c r="C30" s="253"/>
      <c r="D30" s="253"/>
      <c r="E30" s="253"/>
      <c r="F30" s="253"/>
      <c r="G30" s="253"/>
      <c r="H30" s="253"/>
      <c r="I30" s="253"/>
      <c r="J30" s="55"/>
      <c r="K30" s="55"/>
      <c r="L30" s="55"/>
      <c r="M30" s="56"/>
      <c r="N30"/>
      <c r="O30"/>
      <c r="P30"/>
      <c r="Q30"/>
      <c r="R30"/>
      <c r="S30"/>
      <c r="T30"/>
      <c r="U30"/>
      <c r="V30"/>
    </row>
  </sheetData>
  <sheetProtection password="CE5A" sheet="1" objects="1" scenarios="1"/>
  <mergeCells count="15">
    <mergeCell ref="E24:M24"/>
    <mergeCell ref="E28:M28"/>
    <mergeCell ref="E27:M27"/>
    <mergeCell ref="B30:I30"/>
    <mergeCell ref="E25:M25"/>
    <mergeCell ref="E26:M26"/>
    <mergeCell ref="G12:M12"/>
    <mergeCell ref="G13:M13"/>
    <mergeCell ref="B2:M2"/>
    <mergeCell ref="B3:M3"/>
    <mergeCell ref="B7:C7"/>
    <mergeCell ref="H8:L8"/>
    <mergeCell ref="K5:M5"/>
    <mergeCell ref="D5:F5"/>
    <mergeCell ref="G5:J5"/>
  </mergeCells>
  <phoneticPr fontId="15" type="noConversion"/>
  <conditionalFormatting sqref="I15:I23">
    <cfRule type="cellIs" dxfId="167" priority="1" stopIfTrue="1" operator="between">
      <formula>MAX($I$15:$I$23)-0.5</formula>
      <formula>MAX($I$15:$I$23)+0.5</formula>
    </cfRule>
    <cfRule type="cellIs" dxfId="166" priority="2" stopIfTrue="1" operator="between">
      <formula>MAX($I$15:$I$23)-0.5</formula>
      <formula>MAX($I$15:$I$23)-1.5</formula>
    </cfRule>
    <cfRule type="cellIs" dxfId="165" priority="3" stopIfTrue="1" operator="between">
      <formula>MAX($I$15:$I$23)+0.5</formula>
      <formula>MAX($I$15:$I$23)+1.5</formula>
    </cfRule>
  </conditionalFormatting>
  <conditionalFormatting sqref="J15:J23">
    <cfRule type="cellIs" dxfId="164" priority="4" stopIfTrue="1" operator="between">
      <formula>MAX($J$15:$J$23)-0.5</formula>
      <formula>MAX($J$15:$J$23)+0.5</formula>
    </cfRule>
    <cfRule type="cellIs" dxfId="163" priority="5" stopIfTrue="1" operator="between">
      <formula>MAX($J$15:$J$23)-0.5</formula>
      <formula>MAX($J$15:$J$23)-1.5</formula>
    </cfRule>
    <cfRule type="cellIs" dxfId="162" priority="6" stopIfTrue="1" operator="between">
      <formula>MAX($J$15:$J$23)+0.5</formula>
      <formula>MAX($J$15:$J$23)+1.5</formula>
    </cfRule>
  </conditionalFormatting>
  <conditionalFormatting sqref="K15:K23">
    <cfRule type="cellIs" dxfId="161" priority="7" stopIfTrue="1" operator="between">
      <formula>MAX($K$15:$K$23)-0.5</formula>
      <formula>MAX($K$15:$K$23)+0.5</formula>
    </cfRule>
    <cfRule type="cellIs" dxfId="160" priority="8" stopIfTrue="1" operator="between">
      <formula>MAX($K$15:$K$23)-0.5</formula>
      <formula>MAX($K$15:$K$23)-1.5</formula>
    </cfRule>
    <cfRule type="cellIs" dxfId="159" priority="9" stopIfTrue="1" operator="between">
      <formula>MAX($K$15:$K$23)+0.5</formula>
      <formula>MAX($K$15:$K$23)+1.5</formula>
    </cfRule>
  </conditionalFormatting>
  <conditionalFormatting sqref="G15:G23">
    <cfRule type="cellIs" dxfId="158" priority="10" stopIfTrue="1" operator="between">
      <formula>MAX($G$15:$G$23)-0.5</formula>
      <formula>MAX($G$15:$G$23)+0.5</formula>
    </cfRule>
    <cfRule type="cellIs" dxfId="157" priority="11" stopIfTrue="1" operator="between">
      <formula>MAX($G$15:$G$23)-0.5</formula>
      <formula>MAX($G$15:$G$23)-1.5</formula>
    </cfRule>
    <cfRule type="cellIs" dxfId="156" priority="12" stopIfTrue="1" operator="between">
      <formula>MAX($G$15:$G$23)+0.5</formula>
      <formula>MAX($G$15:$G$23)+1.5</formula>
    </cfRule>
  </conditionalFormatting>
  <conditionalFormatting sqref="H15:H23">
    <cfRule type="cellIs" dxfId="155" priority="13" stopIfTrue="1" operator="between">
      <formula>MAX($H$15:$H$23)-0.5</formula>
      <formula>MAX($H$15:$H$23)+0.5</formula>
    </cfRule>
    <cfRule type="cellIs" dxfId="154" priority="14" stopIfTrue="1" operator="between">
      <formula>MAX($H$15:$H$23)-0.5</formula>
      <formula>MAX($H$15:$H$23)-1.5</formula>
    </cfRule>
    <cfRule type="cellIs" dxfId="153" priority="15" stopIfTrue="1" operator="between">
      <formula>MAX($H$15:$H$23)+0.5</formula>
      <formula>MAX($H$15:$HG$23)+1.5</formula>
    </cfRule>
  </conditionalFormatting>
  <conditionalFormatting sqref="L15:L23">
    <cfRule type="cellIs" dxfId="152" priority="16" stopIfTrue="1" operator="between">
      <formula>MAX($L$15:$L$23)-0.5</formula>
      <formula>MAX($L$15:$L$23)+0.5</formula>
    </cfRule>
    <cfRule type="cellIs" dxfId="151" priority="17" stopIfTrue="1" operator="between">
      <formula>MAX($L$15:$L$23)-0.5</formula>
      <formula>MAX($L$15:$L$23)-1.5</formula>
    </cfRule>
    <cfRule type="cellIs" dxfId="150" priority="18" stopIfTrue="1" operator="between">
      <formula>MAX($L$15:$L$23)+0.5</formula>
      <formula>MAX($L$15:$L$23)+1.5</formula>
    </cfRule>
  </conditionalFormatting>
  <conditionalFormatting sqref="M15:M23">
    <cfRule type="cellIs" dxfId="149" priority="19" stopIfTrue="1" operator="between">
      <formula>MAX($M$15:$M$23)-0.5</formula>
      <formula>MAX($M$15:$M$23)+0.5</formula>
    </cfRule>
    <cfRule type="cellIs" dxfId="148" priority="20" stopIfTrue="1" operator="between">
      <formula>MAX($M$15:$M$23)-0.5</formula>
      <formula>MAX($M$15:$M$23)-1.5</formula>
    </cfRule>
    <cfRule type="cellIs" dxfId="147" priority="21" stopIfTrue="1" operator="between">
      <formula>MAX($M$15:$M$23)+0.5</formula>
      <formula>MAX($M$15:$M$23)+1.5</formula>
    </cfRule>
  </conditionalFormatting>
  <hyperlinks>
    <hyperlink ref="G5" location="'Wheat (Moist) MR'!A1" display="Go to Marginal Return Chart"/>
    <hyperlink ref="D5" location="'Wheat (Moist) Crop'!A1" display="Return to Wheat (Moist) as variable"/>
    <hyperlink ref="K5" location="'Data Entry'!A1" display="Return to Data Entry"/>
  </hyperlink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17"/>
  <sheetViews>
    <sheetView showGridLines="0" workbookViewId="0"/>
  </sheetViews>
  <sheetFormatPr defaultRowHeight="12.75" x14ac:dyDescent="0.2"/>
  <sheetData>
    <row r="3" spans="2:15" ht="15.75" x14ac:dyDescent="0.25">
      <c r="B3" s="196" t="s">
        <v>113</v>
      </c>
    </row>
    <row r="4" spans="2:15" x14ac:dyDescent="0.2">
      <c r="B4" s="227"/>
      <c r="C4" s="228"/>
      <c r="D4" s="228"/>
      <c r="E4" s="228"/>
      <c r="F4" s="228"/>
      <c r="G4" s="228"/>
      <c r="H4" s="228"/>
      <c r="I4" s="228"/>
      <c r="J4" s="228"/>
      <c r="K4" s="228"/>
    </row>
    <row r="5" spans="2:15" x14ac:dyDescent="0.2">
      <c r="B5" s="228"/>
      <c r="C5" s="228"/>
      <c r="D5" s="228"/>
      <c r="E5" s="228"/>
      <c r="F5" s="228"/>
      <c r="G5" s="228"/>
      <c r="H5" s="228"/>
      <c r="I5" s="228"/>
      <c r="J5" s="228"/>
      <c r="K5" s="228"/>
    </row>
    <row r="6" spans="2:15" x14ac:dyDescent="0.2">
      <c r="B6" s="228"/>
      <c r="C6" s="228"/>
      <c r="D6" s="228"/>
      <c r="E6" s="228"/>
      <c r="F6" s="228"/>
      <c r="G6" s="228"/>
      <c r="H6" s="228"/>
      <c r="I6" s="228"/>
      <c r="J6" s="228"/>
      <c r="K6" s="228"/>
    </row>
    <row r="7" spans="2:15" x14ac:dyDescent="0.2">
      <c r="B7" s="228"/>
      <c r="C7" s="228"/>
      <c r="D7" s="228"/>
      <c r="E7" s="228"/>
      <c r="F7" s="228"/>
      <c r="G7" s="228"/>
      <c r="H7" s="228"/>
      <c r="I7" s="228"/>
      <c r="J7" s="228"/>
      <c r="K7" s="228"/>
    </row>
    <row r="8" spans="2:15" x14ac:dyDescent="0.2">
      <c r="B8" s="228"/>
      <c r="C8" s="228"/>
      <c r="D8" s="228"/>
      <c r="E8" s="228"/>
      <c r="F8" s="228"/>
      <c r="G8" s="228"/>
      <c r="H8" s="228"/>
      <c r="I8" s="228"/>
      <c r="J8" s="228"/>
      <c r="K8" s="228"/>
    </row>
    <row r="9" spans="2:15" x14ac:dyDescent="0.2">
      <c r="B9" s="228"/>
      <c r="C9" s="228"/>
      <c r="D9" s="228"/>
      <c r="E9" s="228"/>
      <c r="F9" s="228"/>
      <c r="G9" s="228"/>
      <c r="H9" s="228"/>
      <c r="I9" s="228"/>
      <c r="J9" s="228"/>
      <c r="K9" s="228"/>
    </row>
    <row r="10" spans="2:15" x14ac:dyDescent="0.2">
      <c r="B10" s="228"/>
      <c r="C10" s="228"/>
      <c r="D10" s="228"/>
      <c r="E10" s="228"/>
      <c r="F10" s="228"/>
      <c r="G10" s="228"/>
      <c r="H10" s="228"/>
      <c r="I10" s="228"/>
      <c r="J10" s="228"/>
      <c r="K10" s="228"/>
    </row>
    <row r="11" spans="2:15" x14ac:dyDescent="0.2">
      <c r="B11" s="228"/>
      <c r="C11" s="228"/>
      <c r="D11" s="228"/>
      <c r="E11" s="228"/>
      <c r="F11" s="228"/>
      <c r="G11" s="228"/>
      <c r="H11" s="228"/>
      <c r="I11" s="228"/>
      <c r="J11" s="228"/>
      <c r="K11" s="228"/>
    </row>
    <row r="14" spans="2:15" ht="14.25" customHeight="1" x14ac:dyDescent="0.25">
      <c r="B14" s="213" t="s">
        <v>122</v>
      </c>
      <c r="C14" s="212"/>
      <c r="D14" s="212"/>
      <c r="E14" s="212"/>
      <c r="F14" s="212"/>
      <c r="G14" s="212"/>
      <c r="H14" s="212"/>
      <c r="I14" s="212"/>
      <c r="J14" s="212"/>
      <c r="K14" s="212"/>
      <c r="L14" s="212"/>
      <c r="M14" s="212"/>
      <c r="N14" s="212"/>
      <c r="O14" s="212"/>
    </row>
    <row r="15" spans="2:15" ht="15.75" x14ac:dyDescent="0.25">
      <c r="B15" s="213" t="s">
        <v>123</v>
      </c>
    </row>
    <row r="16" spans="2:15" ht="14.25" customHeight="1" x14ac:dyDescent="0.25">
      <c r="B16" s="213" t="s">
        <v>117</v>
      </c>
    </row>
    <row r="17" spans="2:4" x14ac:dyDescent="0.2">
      <c r="B17" s="214" t="s">
        <v>118</v>
      </c>
      <c r="D17" s="208" t="s">
        <v>116</v>
      </c>
    </row>
  </sheetData>
  <sheetProtection password="CE5A" sheet="1" objects="1" scenarios="1"/>
  <mergeCells count="1">
    <mergeCell ref="B4:K11"/>
  </mergeCells>
  <phoneticPr fontId="15" type="noConversion"/>
  <hyperlinks>
    <hyperlink ref="D17" r:id="rId1"/>
  </hyperlinks>
  <pageMargins left="0.75" right="0.75" top="1" bottom="1" header="0.5" footer="0.5"/>
  <pageSetup orientation="portrait" r:id="rId2"/>
  <headerFooter alignWithMargins="0"/>
  <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showGridLines="0" workbookViewId="0">
      <selection activeCell="F18" sqref="F18"/>
    </sheetView>
  </sheetViews>
  <sheetFormatPr defaultRowHeight="12.75" x14ac:dyDescent="0.2"/>
  <cols>
    <col min="1" max="1" width="1.5703125" style="10" customWidth="1"/>
    <col min="2" max="2" width="17.140625" style="10" customWidth="1"/>
    <col min="3" max="3" width="9.140625" style="10"/>
    <col min="4" max="4" width="11.140625" style="10" customWidth="1"/>
    <col min="5" max="5" width="9.140625" style="10"/>
    <col min="6" max="6" width="13.5703125" style="10" customWidth="1"/>
    <col min="7" max="13" width="9.140625" style="10"/>
    <col min="14" max="14" width="18" style="10" customWidth="1"/>
    <col min="15" max="16384" width="9.140625" style="10"/>
  </cols>
  <sheetData>
    <row r="1" spans="1:14" ht="6" customHeight="1" thickBot="1" x14ac:dyDescent="0.25">
      <c r="B1" s="11"/>
      <c r="C1" s="11"/>
      <c r="D1" s="11"/>
      <c r="E1" s="11"/>
      <c r="F1" s="11"/>
      <c r="G1" s="11"/>
      <c r="H1" s="11"/>
      <c r="I1" s="11"/>
    </row>
    <row r="2" spans="1:14" ht="20.25" x14ac:dyDescent="0.3">
      <c r="A2" s="11"/>
      <c r="B2" s="234" t="s">
        <v>40</v>
      </c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6"/>
    </row>
    <row r="3" spans="1:14" ht="20.25" x14ac:dyDescent="0.3">
      <c r="A3" s="11"/>
      <c r="B3" s="237" t="s">
        <v>48</v>
      </c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9"/>
    </row>
    <row r="4" spans="1:14" ht="6.75" customHeight="1" x14ac:dyDescent="0.3">
      <c r="A4" s="11"/>
      <c r="B4" s="13"/>
      <c r="C4" s="14"/>
      <c r="D4" s="14"/>
      <c r="E4" s="14"/>
      <c r="F4" s="14"/>
      <c r="G4" s="14"/>
      <c r="H4" s="14"/>
      <c r="I4" s="14"/>
      <c r="J4" s="12"/>
      <c r="K4" s="12"/>
      <c r="L4" s="12"/>
      <c r="M4" s="15"/>
      <c r="N4" s="158"/>
    </row>
    <row r="5" spans="1:14" x14ac:dyDescent="0.2">
      <c r="B5" s="198"/>
      <c r="C5" s="199"/>
      <c r="D5" s="282" t="s">
        <v>78</v>
      </c>
      <c r="E5" s="283"/>
      <c r="F5" s="283"/>
      <c r="G5" s="282" t="s">
        <v>69</v>
      </c>
      <c r="H5" s="283"/>
      <c r="I5" s="283"/>
      <c r="J5" s="283"/>
      <c r="K5" s="245" t="s">
        <v>96</v>
      </c>
      <c r="L5" s="244"/>
      <c r="M5" s="246"/>
    </row>
    <row r="6" spans="1:14" ht="4.5" customHeight="1" thickBot="1" x14ac:dyDescent="0.25">
      <c r="A6" s="16"/>
      <c r="B6" s="17"/>
      <c r="C6" s="18"/>
      <c r="D6" s="18"/>
      <c r="E6" s="18"/>
      <c r="F6" s="18"/>
      <c r="G6" s="18"/>
      <c r="H6" s="18"/>
      <c r="I6" s="18"/>
      <c r="J6" s="12"/>
      <c r="K6" s="12"/>
      <c r="L6" s="12"/>
      <c r="M6" s="15"/>
      <c r="N6" s="158"/>
    </row>
    <row r="7" spans="1:14" ht="15.75" customHeight="1" thickBot="1" x14ac:dyDescent="0.3">
      <c r="A7" s="16"/>
      <c r="B7" s="240" t="s">
        <v>61</v>
      </c>
      <c r="C7" s="241"/>
      <c r="E7" s="18"/>
      <c r="F7" s="18"/>
      <c r="G7" s="18"/>
      <c r="H7" s="19"/>
      <c r="I7" s="18"/>
      <c r="J7" s="19"/>
      <c r="K7" s="12"/>
      <c r="L7" s="12"/>
      <c r="M7" s="15"/>
    </row>
    <row r="8" spans="1:14" ht="15" customHeight="1" x14ac:dyDescent="0.25">
      <c r="A8" s="16"/>
      <c r="B8" s="87" t="s">
        <v>58</v>
      </c>
      <c r="C8" s="21" t="s">
        <v>59</v>
      </c>
      <c r="D8" s="18"/>
      <c r="E8" s="22"/>
      <c r="F8" s="23"/>
      <c r="G8" s="23"/>
      <c r="H8" s="242" t="s">
        <v>63</v>
      </c>
      <c r="I8" s="243"/>
      <c r="J8" s="243"/>
      <c r="K8" s="243"/>
      <c r="L8" s="243"/>
      <c r="M8" s="24"/>
    </row>
    <row r="9" spans="1:14" ht="15" x14ac:dyDescent="0.2">
      <c r="A9" s="16"/>
      <c r="B9" s="20" t="s">
        <v>60</v>
      </c>
      <c r="C9" s="83">
        <f>'Data Entry'!F14</f>
        <v>5</v>
      </c>
      <c r="D9" s="18"/>
      <c r="E9" s="17"/>
      <c r="F9" s="18"/>
      <c r="G9" s="18"/>
      <c r="H9" s="19"/>
      <c r="I9" s="18"/>
      <c r="J9" s="19"/>
      <c r="K9" s="12"/>
      <c r="L9" s="12"/>
      <c r="M9" s="15"/>
    </row>
    <row r="10" spans="1:14" ht="15" x14ac:dyDescent="0.25">
      <c r="A10" s="16"/>
      <c r="B10" s="30" t="s">
        <v>20</v>
      </c>
      <c r="C10" s="106">
        <f>'Data Entry'!C11</f>
        <v>10</v>
      </c>
      <c r="D10" s="18"/>
      <c r="E10" s="17"/>
      <c r="F10" s="18"/>
      <c r="G10" s="108">
        <f>H10-$C$12</f>
        <v>550</v>
      </c>
      <c r="H10" s="108">
        <f>I10-$C$12</f>
        <v>600</v>
      </c>
      <c r="I10" s="108">
        <f>J10-$C$12</f>
        <v>650</v>
      </c>
      <c r="J10" s="109">
        <f>'Data Entry'!C8</f>
        <v>700</v>
      </c>
      <c r="K10" s="108">
        <f>J10+$C$12</f>
        <v>750</v>
      </c>
      <c r="L10" s="108">
        <f>K10+$C$12</f>
        <v>800</v>
      </c>
      <c r="M10" s="110">
        <f>L10+$C$12</f>
        <v>850</v>
      </c>
    </row>
    <row r="11" spans="1:14" ht="15" x14ac:dyDescent="0.25">
      <c r="A11" s="16"/>
      <c r="B11" s="33" t="s">
        <v>106</v>
      </c>
      <c r="C11" s="46"/>
      <c r="D11" s="18"/>
      <c r="E11" s="17"/>
      <c r="F11" s="29" t="s">
        <v>6</v>
      </c>
      <c r="G11" s="18"/>
      <c r="H11" s="18"/>
      <c r="I11" s="18"/>
      <c r="J11" s="12"/>
      <c r="K11" s="12"/>
      <c r="L11" s="12"/>
      <c r="M11" s="15"/>
    </row>
    <row r="12" spans="1:14" ht="15" x14ac:dyDescent="0.25">
      <c r="A12" s="16"/>
      <c r="B12" s="37" t="s">
        <v>56</v>
      </c>
      <c r="C12" s="61">
        <f>'Data Entry'!C17</f>
        <v>50</v>
      </c>
      <c r="D12" s="18"/>
      <c r="E12" s="32"/>
      <c r="F12" s="29" t="s">
        <v>7</v>
      </c>
      <c r="G12" s="269" t="s">
        <v>8</v>
      </c>
      <c r="H12" s="269"/>
      <c r="I12" s="269"/>
      <c r="J12" s="269"/>
      <c r="K12" s="269"/>
      <c r="L12" s="269"/>
      <c r="M12" s="270"/>
    </row>
    <row r="13" spans="1:14" ht="15.75" thickBot="1" x14ac:dyDescent="0.3">
      <c r="A13" s="16"/>
      <c r="B13" s="43" t="s">
        <v>28</v>
      </c>
      <c r="C13" s="46"/>
      <c r="D13" s="18"/>
      <c r="E13" s="35" t="s">
        <v>9</v>
      </c>
      <c r="F13" s="36" t="s">
        <v>10</v>
      </c>
      <c r="G13" s="247" t="s">
        <v>18</v>
      </c>
      <c r="H13" s="247"/>
      <c r="I13" s="247"/>
      <c r="J13" s="247"/>
      <c r="K13" s="247"/>
      <c r="L13" s="247"/>
      <c r="M13" s="248"/>
    </row>
    <row r="14" spans="1:14" ht="15" x14ac:dyDescent="0.25">
      <c r="A14" s="16"/>
      <c r="B14" s="113" t="s">
        <v>29</v>
      </c>
      <c r="C14" s="107">
        <f>'Data Entry'!C15</f>
        <v>30</v>
      </c>
      <c r="D14" s="18"/>
      <c r="E14" s="39" t="s">
        <v>11</v>
      </c>
      <c r="F14" s="40" t="s">
        <v>12</v>
      </c>
      <c r="G14" s="111">
        <f>'Data Entry'!$F$14/(G$10/(('Data Entry'!$C$9/100)*2200))</f>
        <v>9.2000000000000011</v>
      </c>
      <c r="H14" s="111">
        <f>'Data Entry'!$F$14/(H$10/(('Data Entry'!$C$9/100)*2200))</f>
        <v>8.4333333333333336</v>
      </c>
      <c r="I14" s="111">
        <f>'Data Entry'!$F$14/(I$10/(('Data Entry'!$C$9/100)*2200))</f>
        <v>7.7846153846153854</v>
      </c>
      <c r="J14" s="111">
        <f>'Data Entry'!$F$14/(J$10/(('Data Entry'!$C$9/100)*2200))</f>
        <v>7.2285714285714286</v>
      </c>
      <c r="K14" s="111">
        <f>'Data Entry'!$F$14/(K$10/(('Data Entry'!$C$9/100)*2200))</f>
        <v>6.7466666666666661</v>
      </c>
      <c r="L14" s="111">
        <f>'Data Entry'!$F$14/(L$10/(('Data Entry'!$C$9/100)*2200))</f>
        <v>6.3250000000000002</v>
      </c>
      <c r="M14" s="112">
        <f>'Data Entry'!$F$14/(M$10/(('Data Entry'!$C$9/100)*2200))</f>
        <v>5.9529411764705884</v>
      </c>
    </row>
    <row r="15" spans="1:14" ht="15" x14ac:dyDescent="0.25">
      <c r="A15" s="16"/>
      <c r="B15" s="43" t="s">
        <v>30</v>
      </c>
      <c r="C15" s="46"/>
      <c r="D15" s="18"/>
      <c r="E15" s="190">
        <f>IF((E19-4*$C$10)&lt;0,0,(E19-4*$C$10))</f>
        <v>30</v>
      </c>
      <c r="F15" s="126">
        <f>IF(((-0.0013*(E15+$C$14)^2 + 0.4159*(E15+$C$14))-(-0.0013*($C$14)^2 + 0.4159*($C$14)))&lt;0,0,(-0.0013*(E15+$C$14)^2 +0.4159*(E15+$C$14))-(-0.0013*($C$14)^2 + 0.4159*($C$14)))</f>
        <v>8.9670000000000005</v>
      </c>
      <c r="G15" s="135">
        <f>('Data Entry'!$F$14*$F15)-(G$10/(('Data Entry'!$C$9/100)*2200))*($E15)</f>
        <v>28.530652173913044</v>
      </c>
      <c r="H15" s="135">
        <f>('Data Entry'!$F$14*$F15)-(H$10/(('Data Entry'!$C$9/100)*2200))*($E15)</f>
        <v>27.048438735177864</v>
      </c>
      <c r="I15" s="135">
        <f>('Data Entry'!$F$14*$F15)-(I$10/(('Data Entry'!$C$9/100)*2200))*($E15)</f>
        <v>25.566225296442688</v>
      </c>
      <c r="J15" s="135">
        <f>('Data Entry'!$F$14*$F15)-(J$10/(('Data Entry'!$C$9/100)*2200))*($E15)</f>
        <v>24.084011857707509</v>
      </c>
      <c r="K15" s="135">
        <f>('Data Entry'!$F$14*$F15)-(K$10/(('Data Entry'!$C$9/100)*2200))*($E15)</f>
        <v>22.601798418972333</v>
      </c>
      <c r="L15" s="135">
        <f>('Data Entry'!$F$14*$F15)-(L$10/(('Data Entry'!$C$9/100)*2200))*($E15)</f>
        <v>21.119584980237157</v>
      </c>
      <c r="M15" s="136">
        <f>('Data Entry'!$F$14*$F15)-(M$10/(('Data Entry'!$C$9/100)*2200))*($E15)</f>
        <v>19.637371541501977</v>
      </c>
    </row>
    <row r="16" spans="1:14" ht="15" x14ac:dyDescent="0.25">
      <c r="A16" s="16"/>
      <c r="B16" s="54"/>
      <c r="D16" s="18"/>
      <c r="E16" s="190">
        <f>IF((E20-4*$C$10)&lt;0,0,(E20-4*$C$10))</f>
        <v>40</v>
      </c>
      <c r="F16" s="126">
        <f t="shared" ref="F16:F23" si="0">IF(((-0.0013*(E16+$C$14)^2 + 0.4159*(E16+$C$14))-(-0.0013*($C$14)^2 + 0.4159*($C$14)))&lt;0,0,(-0.0013*(E16+$C$14)^2 +0.4159*(E16+$C$14))-(-0.0013*($C$14)^2 + 0.4159*($C$14)))</f>
        <v>11.435999999999998</v>
      </c>
      <c r="G16" s="135">
        <f>('Data Entry'!$F$14*$F16)-(G$10/(('Data Entry'!$C$9/100)*2200))*($E16)</f>
        <v>35.440869565217383</v>
      </c>
      <c r="H16" s="135">
        <f>('Data Entry'!$F$14*$F16)-(H$10/(('Data Entry'!$C$9/100)*2200))*($E16)</f>
        <v>33.464584980237149</v>
      </c>
      <c r="I16" s="135">
        <f>('Data Entry'!$F$14*$F16)-(I$10/(('Data Entry'!$C$9/100)*2200))*($E16)</f>
        <v>31.48830039525691</v>
      </c>
      <c r="J16" s="135">
        <f>('Data Entry'!$F$14*$F16)-(J$10/(('Data Entry'!$C$9/100)*2200))*($E16)</f>
        <v>29.512015810276672</v>
      </c>
      <c r="K16" s="135">
        <f>('Data Entry'!$F$14*$F16)-(K$10/(('Data Entry'!$C$9/100)*2200))*($E16)</f>
        <v>27.535731225296434</v>
      </c>
      <c r="L16" s="135">
        <f>('Data Entry'!$F$14*$F16)-(L$10/(('Data Entry'!$C$9/100)*2200))*($E16)</f>
        <v>25.5594466403162</v>
      </c>
      <c r="M16" s="136">
        <f>('Data Entry'!$F$14*$F16)-(M$10/(('Data Entry'!$C$9/100)*2200))*($E16)</f>
        <v>23.583162055335961</v>
      </c>
    </row>
    <row r="17" spans="1:19" ht="15" x14ac:dyDescent="0.25">
      <c r="A17" s="16"/>
      <c r="B17" s="54"/>
      <c r="D17" s="18"/>
      <c r="E17" s="190">
        <f>IF((E21-4*$C$10)&lt;0,0,(E21-4*$C$10))</f>
        <v>50</v>
      </c>
      <c r="F17" s="126">
        <f t="shared" si="0"/>
        <v>13.644999999999998</v>
      </c>
      <c r="G17" s="135">
        <f>('Data Entry'!$F$14*$F17)-(G$10/(('Data Entry'!$C$9/100)*2200))*($E17)</f>
        <v>41.051086956521736</v>
      </c>
      <c r="H17" s="135">
        <f>('Data Entry'!$F$14*$F17)-(H$10/(('Data Entry'!$C$9/100)*2200))*($E17)</f>
        <v>38.580731225296432</v>
      </c>
      <c r="I17" s="135">
        <f>('Data Entry'!$F$14*$F17)-(I$10/(('Data Entry'!$C$9/100)*2200))*($E17)</f>
        <v>36.110375494071143</v>
      </c>
      <c r="J17" s="135">
        <f>('Data Entry'!$F$14*$F17)-(J$10/(('Data Entry'!$C$9/100)*2200))*($E17)</f>
        <v>33.640019762845846</v>
      </c>
      <c r="K17" s="135">
        <f>('Data Entry'!$F$14*$F17)-(K$10/(('Data Entry'!$C$9/100)*2200))*($E17)</f>
        <v>31.169664031620542</v>
      </c>
      <c r="L17" s="135">
        <f>('Data Entry'!$F$14*$F17)-(L$10/(('Data Entry'!$C$9/100)*2200))*($E17)</f>
        <v>28.699308300395252</v>
      </c>
      <c r="M17" s="136">
        <f>('Data Entry'!$F$14*$F17)-(M$10/(('Data Entry'!$C$9/100)*2200))*($E17)</f>
        <v>26.228952569169955</v>
      </c>
    </row>
    <row r="18" spans="1:19" ht="15.75" thickBot="1" x14ac:dyDescent="0.3">
      <c r="A18" s="16"/>
      <c r="B18" s="17"/>
      <c r="C18" s="18"/>
      <c r="D18" s="18"/>
      <c r="E18" s="193">
        <f>IF((E22-4*$C$10)&lt;0,0,(E22-4*$C$10))</f>
        <v>60</v>
      </c>
      <c r="F18" s="126">
        <f t="shared" si="0"/>
        <v>15.593999999999996</v>
      </c>
      <c r="G18" s="135">
        <f>('Data Entry'!$F$14*$F18)-(G$10/(('Data Entry'!$C$9/100)*2200))*($E18)</f>
        <v>45.361304347826071</v>
      </c>
      <c r="H18" s="135">
        <f>('Data Entry'!$F$14*$F18)-(H$10/(('Data Entry'!$C$9/100)*2200))*($E18)</f>
        <v>42.396877470355712</v>
      </c>
      <c r="I18" s="135">
        <f>('Data Entry'!$F$14*$F18)-(I$10/(('Data Entry'!$C$9/100)*2200))*($E18)</f>
        <v>39.43245059288536</v>
      </c>
      <c r="J18" s="135">
        <f>('Data Entry'!$F$14*$F18)-(J$10/(('Data Entry'!$C$9/100)*2200))*($E18)</f>
        <v>36.468023715415001</v>
      </c>
      <c r="K18" s="135">
        <f>('Data Entry'!$F$14*$F18)-(K$10/(('Data Entry'!$C$9/100)*2200))*($E18)</f>
        <v>33.503596837944649</v>
      </c>
      <c r="L18" s="135">
        <f>('Data Entry'!$F$14*$F18)-(L$10/(('Data Entry'!$C$9/100)*2200))*($E18)</f>
        <v>30.539169960474297</v>
      </c>
      <c r="M18" s="136">
        <f>('Data Entry'!$F$14*$F18)-(M$10/(('Data Entry'!$C$9/100)*2200))*($E18)</f>
        <v>27.574743083003938</v>
      </c>
    </row>
    <row r="19" spans="1:19" ht="15.75" thickBot="1" x14ac:dyDescent="0.3">
      <c r="A19" s="16"/>
      <c r="B19" s="47"/>
      <c r="C19" s="48"/>
      <c r="D19" s="49" t="s">
        <v>13</v>
      </c>
      <c r="E19" s="50">
        <f>'Data Entry'!G9</f>
        <v>70</v>
      </c>
      <c r="F19" s="192">
        <f t="shared" si="0"/>
        <v>17.282999999999994</v>
      </c>
      <c r="G19" s="135">
        <f>('Data Entry'!$F$14*$F19)-(G$10/(('Data Entry'!$C$9/100)*2200))*($E19)</f>
        <v>48.371521739130401</v>
      </c>
      <c r="H19" s="135">
        <f>('Data Entry'!$F$14*$F19)-(H$10/(('Data Entry'!$C$9/100)*2200))*($E19)</f>
        <v>44.91302371541498</v>
      </c>
      <c r="I19" s="135">
        <f>('Data Entry'!$F$14*$F19)-(I$10/(('Data Entry'!$C$9/100)*2200))*($E19)</f>
        <v>41.454525691699573</v>
      </c>
      <c r="J19" s="135">
        <f>('Data Entry'!$F$14*$F19)-(J$10/(('Data Entry'!$C$9/100)*2200))*($E19)</f>
        <v>37.996027667984151</v>
      </c>
      <c r="K19" s="135">
        <f>('Data Entry'!$F$14*$F19)-(K$10/(('Data Entry'!$C$9/100)*2200))*($E19)</f>
        <v>34.537529644268737</v>
      </c>
      <c r="L19" s="135">
        <f>('Data Entry'!$F$14*$F19)-(L$10/(('Data Entry'!$C$9/100)*2200))*($E19)</f>
        <v>31.079031620553323</v>
      </c>
      <c r="M19" s="136">
        <f>('Data Entry'!$F$14*$F19)-(M$10/(('Data Entry'!$C$9/100)*2200))*($E19)</f>
        <v>27.620533596837909</v>
      </c>
    </row>
    <row r="20" spans="1:19" ht="15" x14ac:dyDescent="0.25">
      <c r="A20" s="16"/>
      <c r="B20" s="17"/>
      <c r="C20" s="18"/>
      <c r="D20" s="18"/>
      <c r="E20" s="194">
        <f>E19+C10</f>
        <v>80</v>
      </c>
      <c r="F20" s="126">
        <f t="shared" si="0"/>
        <v>18.712000000000003</v>
      </c>
      <c r="G20" s="135">
        <f>('Data Entry'!$F$14*$F20)-(G$10/(('Data Entry'!$C$9/100)*2200))*($E20)</f>
        <v>50.081739130434798</v>
      </c>
      <c r="H20" s="135">
        <f>('Data Entry'!$F$14*$F20)-(H$10/(('Data Entry'!$C$9/100)*2200))*($E20)</f>
        <v>46.129169960474321</v>
      </c>
      <c r="I20" s="135">
        <f>('Data Entry'!$F$14*$F20)-(I$10/(('Data Entry'!$C$9/100)*2200))*($E20)</f>
        <v>42.176600790513852</v>
      </c>
      <c r="J20" s="135">
        <f>('Data Entry'!$F$14*$F20)-(J$10/(('Data Entry'!$C$9/100)*2200))*($E20)</f>
        <v>38.224031620553376</v>
      </c>
      <c r="K20" s="135">
        <f>('Data Entry'!$F$14*$F20)-(K$10/(('Data Entry'!$C$9/100)*2200))*($E20)</f>
        <v>34.2714624505929</v>
      </c>
      <c r="L20" s="135">
        <f>('Data Entry'!$F$14*$F20)-(L$10/(('Data Entry'!$C$9/100)*2200))*($E20)</f>
        <v>30.31889328063243</v>
      </c>
      <c r="M20" s="136">
        <f>('Data Entry'!$F$14*$F20)-(M$10/(('Data Entry'!$C$9/100)*2200))*($E20)</f>
        <v>26.366324110671954</v>
      </c>
    </row>
    <row r="21" spans="1:19" ht="15" x14ac:dyDescent="0.25">
      <c r="A21" s="16"/>
      <c r="B21" s="17"/>
      <c r="C21" s="52"/>
      <c r="D21" s="18"/>
      <c r="E21" s="190">
        <f>E19+2*C10</f>
        <v>90</v>
      </c>
      <c r="F21" s="126">
        <f t="shared" si="0"/>
        <v>19.881</v>
      </c>
      <c r="G21" s="135">
        <f>('Data Entry'!$F$14*$F21)-(G$10/(('Data Entry'!$C$9/100)*2200))*($E21)</f>
        <v>50.491956521739134</v>
      </c>
      <c r="H21" s="135">
        <f>('Data Entry'!$F$14*$F21)-(H$10/(('Data Entry'!$C$9/100)*2200))*($E21)</f>
        <v>46.045316205533595</v>
      </c>
      <c r="I21" s="135">
        <f>('Data Entry'!$F$14*$F21)-(I$10/(('Data Entry'!$C$9/100)*2200))*($E21)</f>
        <v>41.598675889328071</v>
      </c>
      <c r="J21" s="135">
        <f>('Data Entry'!$F$14*$F21)-(J$10/(('Data Entry'!$C$9/100)*2200))*($E21)</f>
        <v>37.152035573122532</v>
      </c>
      <c r="K21" s="135">
        <f>('Data Entry'!$F$14*$F21)-(K$10/(('Data Entry'!$C$9/100)*2200))*($E21)</f>
        <v>32.705395256916987</v>
      </c>
      <c r="L21" s="135">
        <f>('Data Entry'!$F$14*$F21)-(L$10/(('Data Entry'!$C$9/100)*2200))*($E21)</f>
        <v>28.258754940711469</v>
      </c>
      <c r="M21" s="136">
        <f>('Data Entry'!$F$14*$F21)-(M$10/(('Data Entry'!$C$9/100)*2200))*($E21)</f>
        <v>23.812114624505924</v>
      </c>
    </row>
    <row r="22" spans="1:19" ht="15" x14ac:dyDescent="0.25">
      <c r="A22" s="16"/>
      <c r="B22" s="17"/>
      <c r="C22" s="18"/>
      <c r="D22" s="18"/>
      <c r="E22" s="190">
        <f>E19+3*C10</f>
        <v>100</v>
      </c>
      <c r="F22" s="126">
        <f t="shared" si="0"/>
        <v>20.79</v>
      </c>
      <c r="G22" s="135">
        <f>('Data Entry'!$F$14*$F22)-(G$10/(('Data Entry'!$C$9/100)*2200))*($E22)</f>
        <v>49.602173913043472</v>
      </c>
      <c r="H22" s="135">
        <f>('Data Entry'!$F$14*$F22)-(H$10/(('Data Entry'!$C$9/100)*2200))*($E22)</f>
        <v>44.661462450592872</v>
      </c>
      <c r="I22" s="135">
        <f>('Data Entry'!$F$14*$F22)-(I$10/(('Data Entry'!$C$9/100)*2200))*($E22)</f>
        <v>39.720750988142285</v>
      </c>
      <c r="J22" s="135">
        <f>('Data Entry'!$F$14*$F22)-(J$10/(('Data Entry'!$C$9/100)*2200))*($E22)</f>
        <v>34.780039525691691</v>
      </c>
      <c r="K22" s="135">
        <f>('Data Entry'!$F$14*$F22)-(K$10/(('Data Entry'!$C$9/100)*2200))*($E22)</f>
        <v>29.839328063241084</v>
      </c>
      <c r="L22" s="135">
        <f>('Data Entry'!$F$14*$F22)-(L$10/(('Data Entry'!$C$9/100)*2200))*($E22)</f>
        <v>24.898616600790504</v>
      </c>
      <c r="M22" s="136">
        <f>('Data Entry'!$F$14*$F22)-(M$10/(('Data Entry'!$C$9/100)*2200))*($E22)</f>
        <v>19.95790513833991</v>
      </c>
    </row>
    <row r="23" spans="1:19" ht="15" x14ac:dyDescent="0.25">
      <c r="A23" s="16"/>
      <c r="B23" s="17"/>
      <c r="C23" s="18"/>
      <c r="D23" s="18"/>
      <c r="E23" s="190">
        <f>E19+4*C10</f>
        <v>110</v>
      </c>
      <c r="F23" s="126">
        <f t="shared" si="0"/>
        <v>21.438999999999993</v>
      </c>
      <c r="G23" s="135">
        <f>('Data Entry'!$F$14*$F23)-(G$10/(('Data Entry'!$C$9/100)*2200))*($E23)</f>
        <v>47.412391304347793</v>
      </c>
      <c r="H23" s="135">
        <f>('Data Entry'!$F$14*$F23)-(H$10/(('Data Entry'!$C$9/100)*2200))*($E23)</f>
        <v>41.977608695652137</v>
      </c>
      <c r="I23" s="135">
        <f>('Data Entry'!$F$14*$F23)-(I$10/(('Data Entry'!$C$9/100)*2200))*($E23)</f>
        <v>36.542826086956495</v>
      </c>
      <c r="J23" s="135">
        <f>('Data Entry'!$F$14*$F23)-(J$10/(('Data Entry'!$C$9/100)*2200))*($E23)</f>
        <v>31.108043478260839</v>
      </c>
      <c r="K23" s="135">
        <f>('Data Entry'!$F$14*$F23)-(K$10/(('Data Entry'!$C$9/100)*2200))*($E23)</f>
        <v>25.673260869565183</v>
      </c>
      <c r="L23" s="135">
        <f>('Data Entry'!$F$14*$F23)-(L$10/(('Data Entry'!$C$9/100)*2200))*($E23)</f>
        <v>20.238478260869528</v>
      </c>
      <c r="M23" s="136">
        <f>('Data Entry'!$F$14*$F23)-(M$10/(('Data Entry'!$C$9/100)*2200))*($E23)</f>
        <v>14.803695652173872</v>
      </c>
    </row>
    <row r="24" spans="1:19" ht="13.5" customHeight="1" x14ac:dyDescent="0.2">
      <c r="A24" s="16"/>
      <c r="B24" s="17"/>
      <c r="C24" s="18"/>
      <c r="D24" s="18"/>
      <c r="E24" s="266" t="s">
        <v>51</v>
      </c>
      <c r="F24" s="267"/>
      <c r="G24" s="272"/>
      <c r="H24" s="272"/>
      <c r="I24" s="272"/>
      <c r="J24" s="272"/>
      <c r="K24" s="272"/>
      <c r="L24" s="272"/>
      <c r="M24" s="273"/>
    </row>
    <row r="25" spans="1:19" ht="9.75" customHeight="1" x14ac:dyDescent="0.2">
      <c r="A25" s="16"/>
      <c r="B25" s="17"/>
      <c r="C25" s="18"/>
      <c r="D25" s="18"/>
      <c r="E25" s="266" t="s">
        <v>16</v>
      </c>
      <c r="F25" s="267"/>
      <c r="G25" s="267"/>
      <c r="H25" s="267"/>
      <c r="I25" s="267"/>
      <c r="J25" s="267"/>
      <c r="K25" s="267"/>
      <c r="L25" s="267"/>
      <c r="M25" s="268"/>
    </row>
    <row r="26" spans="1:19" ht="9.75" customHeight="1" x14ac:dyDescent="0.2">
      <c r="A26" s="16"/>
      <c r="B26" s="17"/>
      <c r="C26" s="18"/>
      <c r="D26" s="18"/>
      <c r="E26" s="266" t="s">
        <v>19</v>
      </c>
      <c r="F26" s="267"/>
      <c r="G26" s="267"/>
      <c r="H26" s="267"/>
      <c r="I26" s="267"/>
      <c r="J26" s="267"/>
      <c r="K26" s="267"/>
      <c r="L26" s="267"/>
      <c r="M26" s="268"/>
    </row>
    <row r="27" spans="1:19" ht="11.25" customHeight="1" x14ac:dyDescent="0.2">
      <c r="A27" s="16"/>
      <c r="B27" s="17"/>
      <c r="C27" s="18"/>
      <c r="D27" s="18"/>
      <c r="E27" s="262" t="s">
        <v>85</v>
      </c>
      <c r="F27" s="287"/>
      <c r="G27" s="287"/>
      <c r="H27" s="287"/>
      <c r="I27" s="287"/>
      <c r="J27" s="287"/>
      <c r="K27" s="287"/>
      <c r="L27" s="287"/>
      <c r="M27" s="246"/>
      <c r="N27" s="130"/>
      <c r="O27"/>
      <c r="P27"/>
      <c r="Q27"/>
      <c r="R27"/>
      <c r="S27"/>
    </row>
    <row r="28" spans="1:19" ht="12" customHeight="1" thickBot="1" x14ac:dyDescent="0.25">
      <c r="A28" s="16"/>
      <c r="B28" s="17"/>
      <c r="C28" s="18"/>
      <c r="D28" s="18"/>
      <c r="E28" s="277" t="s">
        <v>38</v>
      </c>
      <c r="F28" s="279"/>
      <c r="G28" s="279"/>
      <c r="H28" s="279"/>
      <c r="I28" s="279"/>
      <c r="J28" s="280"/>
      <c r="K28" s="280"/>
      <c r="L28" s="280"/>
      <c r="M28" s="281"/>
    </row>
    <row r="29" spans="1:19" ht="11.25" customHeight="1" x14ac:dyDescent="0.2">
      <c r="A29" s="16"/>
      <c r="B29" s="17"/>
      <c r="C29" s="18"/>
      <c r="D29" s="18"/>
      <c r="E29" s="53"/>
      <c r="F29" s="53"/>
      <c r="G29" s="53"/>
      <c r="H29" s="53"/>
      <c r="I29" s="53"/>
      <c r="J29" s="12"/>
      <c r="K29" s="12"/>
      <c r="L29" s="12"/>
      <c r="M29" s="15"/>
    </row>
    <row r="30" spans="1:19" ht="11.25" customHeight="1" thickBot="1" x14ac:dyDescent="0.25">
      <c r="B30" s="76"/>
      <c r="C30" s="81"/>
      <c r="D30" s="81"/>
      <c r="E30" s="81"/>
      <c r="F30" s="81"/>
      <c r="G30" s="81"/>
      <c r="H30" s="81"/>
      <c r="I30" s="81"/>
      <c r="J30" s="55"/>
      <c r="K30" s="55"/>
      <c r="L30" s="55"/>
      <c r="M30" s="56"/>
    </row>
  </sheetData>
  <sheetProtection password="CE5A" sheet="1" objects="1" scenarios="1"/>
  <mergeCells count="14">
    <mergeCell ref="E28:M28"/>
    <mergeCell ref="E27:M27"/>
    <mergeCell ref="H8:L8"/>
    <mergeCell ref="E25:M25"/>
    <mergeCell ref="E26:M26"/>
    <mergeCell ref="G12:M12"/>
    <mergeCell ref="G13:M13"/>
    <mergeCell ref="E24:M24"/>
    <mergeCell ref="B2:M2"/>
    <mergeCell ref="B3:M3"/>
    <mergeCell ref="B7:C7"/>
    <mergeCell ref="D5:F5"/>
    <mergeCell ref="G5:J5"/>
    <mergeCell ref="K5:M5"/>
  </mergeCells>
  <phoneticPr fontId="15" type="noConversion"/>
  <conditionalFormatting sqref="I15:I23">
    <cfRule type="cellIs" dxfId="146" priority="1" stopIfTrue="1" operator="between">
      <formula>MAX($I$15:$I$23)-0.5</formula>
      <formula>MAX($I$15:$I$23)+0.5</formula>
    </cfRule>
    <cfRule type="cellIs" dxfId="145" priority="2" stopIfTrue="1" operator="between">
      <formula>MAX($I$15:$I$23)-0.5</formula>
      <formula>MAX($I$15:$I$23)-1.5</formula>
    </cfRule>
    <cfRule type="cellIs" dxfId="144" priority="3" stopIfTrue="1" operator="between">
      <formula>MAX($I$15:$I$23)+0.5</formula>
      <formula>MAX($I$15:$I$23)+1.5</formula>
    </cfRule>
  </conditionalFormatting>
  <conditionalFormatting sqref="J15:J23">
    <cfRule type="cellIs" dxfId="143" priority="4" stopIfTrue="1" operator="between">
      <formula>MAX($J$15:$J$23)-0.5</formula>
      <formula>MAX($J$15:$J$23)+0.5</formula>
    </cfRule>
    <cfRule type="cellIs" dxfId="142" priority="5" stopIfTrue="1" operator="between">
      <formula>MAX($J$15:$J$23)-0.5</formula>
      <formula>MAX($J$15:$J$23)-1.5</formula>
    </cfRule>
    <cfRule type="cellIs" dxfId="141" priority="6" stopIfTrue="1" operator="between">
      <formula>MAX($J$15:$J$23)+0.5</formula>
      <formula>MAX($J$15:$J$23)+1.5</formula>
    </cfRule>
  </conditionalFormatting>
  <conditionalFormatting sqref="K15:K23">
    <cfRule type="cellIs" dxfId="140" priority="7" stopIfTrue="1" operator="between">
      <formula>MAX($K$15:$K$23)-0.5</formula>
      <formula>MAX($K$15:$K$23)+0.5</formula>
    </cfRule>
    <cfRule type="cellIs" dxfId="139" priority="8" stopIfTrue="1" operator="between">
      <formula>MAX($K$15:$K$23)-0.5</formula>
      <formula>MAX($K$15:$K$23)-1.5</formula>
    </cfRule>
    <cfRule type="cellIs" dxfId="138" priority="9" stopIfTrue="1" operator="between">
      <formula>MAX($K$15:$K$23)+0.5</formula>
      <formula>MAX($K$15:$K$23)+1.5</formula>
    </cfRule>
  </conditionalFormatting>
  <conditionalFormatting sqref="G15:G23">
    <cfRule type="cellIs" dxfId="137" priority="10" stopIfTrue="1" operator="between">
      <formula>MAX($G$15:$G$23)-0.5</formula>
      <formula>MAX($G$15:$G$23)+0.5</formula>
    </cfRule>
    <cfRule type="cellIs" dxfId="136" priority="11" stopIfTrue="1" operator="between">
      <formula>MAX($G$15:$G$23)-0.5</formula>
      <formula>MAX($G$15:$G$23)-1.5</formula>
    </cfRule>
    <cfRule type="cellIs" dxfId="135" priority="12" stopIfTrue="1" operator="between">
      <formula>MAX($G$15:$G$23)+0.5</formula>
      <formula>MAX($G$15:$G$23)+1.5</formula>
    </cfRule>
  </conditionalFormatting>
  <conditionalFormatting sqref="H15:H23">
    <cfRule type="cellIs" dxfId="134" priority="13" stopIfTrue="1" operator="between">
      <formula>MAX($H$15:$H$23)-0.5</formula>
      <formula>MAX($H$15:$H$23)+0.5</formula>
    </cfRule>
    <cfRule type="cellIs" dxfId="133" priority="14" stopIfTrue="1" operator="between">
      <formula>MAX($H$15:$H$23)-0.5</formula>
      <formula>MAX($H$15:$H$23)-1.5</formula>
    </cfRule>
    <cfRule type="cellIs" dxfId="132" priority="15" stopIfTrue="1" operator="between">
      <formula>MAX($H$15:$H$23)+0.5</formula>
      <formula>MAX($H$15:$HG$23)+1.5</formula>
    </cfRule>
  </conditionalFormatting>
  <conditionalFormatting sqref="L15:L23">
    <cfRule type="cellIs" dxfId="131" priority="16" stopIfTrue="1" operator="between">
      <formula>MAX($L$15:$L$23)-0.5</formula>
      <formula>MAX($L$15:$L$23)+0.5</formula>
    </cfRule>
    <cfRule type="cellIs" dxfId="130" priority="17" stopIfTrue="1" operator="between">
      <formula>MAX($L$15:$L$23)-0.5</formula>
      <formula>MAX($L$15:$L$23)-1.5</formula>
    </cfRule>
    <cfRule type="cellIs" dxfId="129" priority="18" stopIfTrue="1" operator="between">
      <formula>MAX($L$15:$L$23)+0.5</formula>
      <formula>MAX($L$15:$L$23)+1.5</formula>
    </cfRule>
  </conditionalFormatting>
  <conditionalFormatting sqref="M15:M23">
    <cfRule type="cellIs" dxfId="128" priority="19" stopIfTrue="1" operator="between">
      <formula>MAX($M$15:$M$23)-0.5</formula>
      <formula>MAX($M$15:$M$23)+0.5</formula>
    </cfRule>
    <cfRule type="cellIs" dxfId="127" priority="20" stopIfTrue="1" operator="between">
      <formula>MAX($M$15:$M$23)-0.5</formula>
      <formula>MAX($M$15:$M$23)-1.5</formula>
    </cfRule>
    <cfRule type="cellIs" dxfId="126" priority="21" stopIfTrue="1" operator="between">
      <formula>MAX($M$15:$M$23)+0.5</formula>
      <formula>MAX($M$15:$M$23)+1.5</formula>
    </cfRule>
  </conditionalFormatting>
  <hyperlinks>
    <hyperlink ref="D5" location="'Wheat (Dry) Crop'!A1" display="Return to Wheat (Dry) as variable"/>
    <hyperlink ref="G5" location="'Wheat (Dry) MR'!A1" display="Go to Marginal Return Chart"/>
    <hyperlink ref="K5" location="'Data Entry'!A1" display="Return to Data Entry"/>
  </hyperlinks>
  <pageMargins left="0.75" right="0.75" top="1" bottom="1" header="0.5" footer="0.5"/>
  <pageSetup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showGridLines="0" workbookViewId="0">
      <selection activeCell="F20" sqref="F20"/>
    </sheetView>
  </sheetViews>
  <sheetFormatPr defaultRowHeight="12.75" x14ac:dyDescent="0.2"/>
  <cols>
    <col min="1" max="1" width="1.5703125" style="10" customWidth="1"/>
    <col min="2" max="2" width="17.140625" style="10" customWidth="1"/>
    <col min="3" max="3" width="9.140625" style="10"/>
    <col min="4" max="4" width="11.140625" style="10" customWidth="1"/>
    <col min="5" max="5" width="9.140625" style="10"/>
    <col min="6" max="6" width="13.5703125" style="10" customWidth="1"/>
    <col min="7" max="13" width="9.140625" style="10"/>
    <col min="14" max="14" width="13.42578125" style="10" customWidth="1"/>
    <col min="15" max="16384" width="9.140625" style="10"/>
  </cols>
  <sheetData>
    <row r="1" spans="1:14" ht="6" customHeight="1" thickBot="1" x14ac:dyDescent="0.25">
      <c r="B1" s="11"/>
      <c r="C1" s="11"/>
      <c r="D1" s="11"/>
      <c r="E1" s="11"/>
      <c r="F1" s="11"/>
      <c r="G1" s="11"/>
      <c r="H1" s="11"/>
      <c r="I1" s="11"/>
    </row>
    <row r="2" spans="1:14" ht="20.25" x14ac:dyDescent="0.3">
      <c r="A2" s="11"/>
      <c r="B2" s="234" t="s">
        <v>40</v>
      </c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6"/>
    </row>
    <row r="3" spans="1:14" ht="20.25" x14ac:dyDescent="0.3">
      <c r="A3" s="11"/>
      <c r="B3" s="237" t="s">
        <v>49</v>
      </c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9"/>
    </row>
    <row r="4" spans="1:14" ht="6.75" customHeight="1" x14ac:dyDescent="0.3">
      <c r="A4" s="11"/>
      <c r="B4" s="13"/>
      <c r="C4" s="14"/>
      <c r="D4" s="14"/>
      <c r="E4" s="14"/>
      <c r="F4" s="14"/>
      <c r="G4" s="14"/>
      <c r="H4" s="14"/>
      <c r="I4" s="14"/>
      <c r="J4" s="12"/>
      <c r="L4" s="12"/>
      <c r="M4" s="15"/>
      <c r="N4" s="158"/>
    </row>
    <row r="5" spans="1:14" x14ac:dyDescent="0.2">
      <c r="B5" s="198"/>
      <c r="C5" s="199"/>
      <c r="D5" s="282" t="s">
        <v>79</v>
      </c>
      <c r="E5" s="283"/>
      <c r="F5" s="283"/>
      <c r="G5" s="282" t="s">
        <v>75</v>
      </c>
      <c r="H5" s="283"/>
      <c r="I5" s="283"/>
      <c r="J5" s="283"/>
      <c r="K5" s="245" t="s">
        <v>96</v>
      </c>
      <c r="L5" s="244"/>
      <c r="M5" s="246"/>
    </row>
    <row r="6" spans="1:14" ht="4.5" customHeight="1" thickBot="1" x14ac:dyDescent="0.25">
      <c r="A6" s="16"/>
      <c r="B6" s="17"/>
      <c r="C6" s="18"/>
      <c r="D6" s="18"/>
      <c r="E6" s="18"/>
      <c r="F6" s="18"/>
      <c r="G6" s="209"/>
      <c r="H6" s="209"/>
      <c r="I6" s="209"/>
      <c r="J6" s="155"/>
      <c r="K6" s="12"/>
      <c r="L6" s="12"/>
      <c r="M6" s="15"/>
      <c r="N6" s="158"/>
    </row>
    <row r="7" spans="1:14" ht="15.75" customHeight="1" thickBot="1" x14ac:dyDescent="0.3">
      <c r="A7" s="16"/>
      <c r="B7" s="240" t="s">
        <v>61</v>
      </c>
      <c r="C7" s="241"/>
      <c r="E7" s="18"/>
      <c r="F7" s="18"/>
      <c r="G7" s="18"/>
      <c r="H7" s="19"/>
      <c r="I7" s="18"/>
      <c r="J7" s="19"/>
      <c r="K7" s="12"/>
      <c r="L7" s="12"/>
      <c r="M7" s="15"/>
      <c r="N7" s="158"/>
    </row>
    <row r="8" spans="1:14" ht="15" customHeight="1" x14ac:dyDescent="0.25">
      <c r="A8" s="16"/>
      <c r="B8" s="87" t="s">
        <v>58</v>
      </c>
      <c r="C8" s="21" t="s">
        <v>59</v>
      </c>
      <c r="D8" s="18"/>
      <c r="E8" s="22"/>
      <c r="F8" s="23"/>
      <c r="G8" s="23"/>
      <c r="H8" s="242" t="s">
        <v>63</v>
      </c>
      <c r="I8" s="243"/>
      <c r="J8" s="243"/>
      <c r="K8" s="243"/>
      <c r="L8" s="243"/>
      <c r="M8" s="24"/>
    </row>
    <row r="9" spans="1:14" ht="15" x14ac:dyDescent="0.2">
      <c r="A9" s="16"/>
      <c r="B9" s="20" t="s">
        <v>60</v>
      </c>
      <c r="C9" s="83">
        <f>'Data Entry'!F14</f>
        <v>5</v>
      </c>
      <c r="D9" s="18"/>
      <c r="E9" s="17"/>
      <c r="F9" s="18"/>
      <c r="G9" s="18"/>
      <c r="H9" s="19"/>
      <c r="I9" s="18"/>
      <c r="J9" s="19"/>
      <c r="K9" s="12"/>
      <c r="L9" s="12"/>
      <c r="M9" s="15"/>
    </row>
    <row r="10" spans="1:14" ht="15" x14ac:dyDescent="0.25">
      <c r="A10" s="16"/>
      <c r="B10" s="30" t="s">
        <v>20</v>
      </c>
      <c r="C10" s="106">
        <f>'Data Entry'!C11</f>
        <v>10</v>
      </c>
      <c r="D10" s="18"/>
      <c r="E10" s="17"/>
      <c r="F10" s="18"/>
      <c r="G10" s="108">
        <f>H10-$C$12</f>
        <v>550</v>
      </c>
      <c r="H10" s="108">
        <f>I10-$C$12</f>
        <v>600</v>
      </c>
      <c r="I10" s="108">
        <f>J10-$C$12</f>
        <v>650</v>
      </c>
      <c r="J10" s="109">
        <f>'Data Entry'!C8</f>
        <v>700</v>
      </c>
      <c r="K10" s="108">
        <f>J10+$C$12</f>
        <v>750</v>
      </c>
      <c r="L10" s="108">
        <f>K10+$C$12</f>
        <v>800</v>
      </c>
      <c r="M10" s="110">
        <f>L10+$C$12</f>
        <v>850</v>
      </c>
    </row>
    <row r="11" spans="1:14" ht="15" x14ac:dyDescent="0.25">
      <c r="A11" s="16"/>
      <c r="B11" s="33" t="s">
        <v>106</v>
      </c>
      <c r="C11" s="46"/>
      <c r="D11" s="18"/>
      <c r="E11" s="17"/>
      <c r="F11" s="29" t="s">
        <v>6</v>
      </c>
      <c r="G11" s="18"/>
      <c r="H11" s="18"/>
      <c r="I11" s="18"/>
      <c r="J11" s="12"/>
      <c r="K11" s="12"/>
      <c r="L11" s="12"/>
      <c r="M11" s="15"/>
    </row>
    <row r="12" spans="1:14" ht="15" x14ac:dyDescent="0.25">
      <c r="A12" s="16"/>
      <c r="B12" s="37" t="s">
        <v>56</v>
      </c>
      <c r="C12" s="61">
        <f>'Data Entry'!C17</f>
        <v>50</v>
      </c>
      <c r="D12" s="18"/>
      <c r="E12" s="32"/>
      <c r="F12" s="29" t="s">
        <v>7</v>
      </c>
      <c r="G12" s="269" t="s">
        <v>8</v>
      </c>
      <c r="H12" s="269"/>
      <c r="I12" s="269"/>
      <c r="J12" s="269"/>
      <c r="K12" s="269"/>
      <c r="L12" s="269"/>
      <c r="M12" s="270"/>
    </row>
    <row r="13" spans="1:14" ht="15.75" thickBot="1" x14ac:dyDescent="0.3">
      <c r="A13" s="16"/>
      <c r="B13" s="43" t="s">
        <v>28</v>
      </c>
      <c r="C13" s="46"/>
      <c r="D13" s="18"/>
      <c r="E13" s="35" t="s">
        <v>9</v>
      </c>
      <c r="F13" s="36" t="s">
        <v>10</v>
      </c>
      <c r="G13" s="247" t="s">
        <v>18</v>
      </c>
      <c r="H13" s="247"/>
      <c r="I13" s="247"/>
      <c r="J13" s="247"/>
      <c r="K13" s="247"/>
      <c r="L13" s="247"/>
      <c r="M13" s="248"/>
    </row>
    <row r="14" spans="1:14" ht="15" x14ac:dyDescent="0.25">
      <c r="A14" s="16"/>
      <c r="B14" s="113" t="s">
        <v>29</v>
      </c>
      <c r="C14" s="107">
        <f>'Data Entry'!C15</f>
        <v>30</v>
      </c>
      <c r="D14" s="18"/>
      <c r="E14" s="39" t="s">
        <v>11</v>
      </c>
      <c r="F14" s="40" t="s">
        <v>12</v>
      </c>
      <c r="G14" s="111">
        <f>'Data Entry'!$F$14/(G$10/(('Data Entry'!$C$9/100)*2200))</f>
        <v>9.2000000000000011</v>
      </c>
      <c r="H14" s="111">
        <f>'Data Entry'!$F$14/(H$10/(('Data Entry'!$C$9/100)*2200))</f>
        <v>8.4333333333333336</v>
      </c>
      <c r="I14" s="111">
        <f>'Data Entry'!$F$14/(I$10/(('Data Entry'!$C$9/100)*2200))</f>
        <v>7.7846153846153854</v>
      </c>
      <c r="J14" s="111">
        <f>'Data Entry'!$F$14/(J$10/(('Data Entry'!$C$9/100)*2200))</f>
        <v>7.2285714285714286</v>
      </c>
      <c r="K14" s="111">
        <f>'Data Entry'!$F$14/(K$10/(('Data Entry'!$C$9/100)*2200))</f>
        <v>6.7466666666666661</v>
      </c>
      <c r="L14" s="111">
        <f>'Data Entry'!$F$14/(L$10/(('Data Entry'!$C$9/100)*2200))</f>
        <v>6.3250000000000002</v>
      </c>
      <c r="M14" s="112">
        <f>'Data Entry'!$F$14/(M$10/(('Data Entry'!$C$9/100)*2200))</f>
        <v>5.9529411764705884</v>
      </c>
    </row>
    <row r="15" spans="1:14" ht="15" x14ac:dyDescent="0.25">
      <c r="A15" s="16"/>
      <c r="B15" s="43" t="s">
        <v>30</v>
      </c>
      <c r="C15" s="46"/>
      <c r="D15" s="18"/>
      <c r="E15" s="190">
        <f>IF((E19-4*$C$10)&lt;0,0,(E19-4*$C$10))</f>
        <v>0</v>
      </c>
      <c r="F15" s="126">
        <f>IF(((-0.0038*(E15+$C$14)^2 + 0.5464*(E15+$C$14))-(-0.0038*($C$14)^2 + 0.5464*($C$14)))&lt;0,0,(-0.0038*(E15+$C$14)^2 + 0.5464*(E15+$C$14))-(-0.0038*($C$14)^2 + 0.5464*($C$14)))</f>
        <v>0</v>
      </c>
      <c r="G15" s="135">
        <f>('Data Entry'!$F$14*$F15)-(G$10/(('Data Entry'!$C$9/100)*2200))*($E15)</f>
        <v>0</v>
      </c>
      <c r="H15" s="135">
        <f>('Data Entry'!$F$14*$F15)-(H$10/(('Data Entry'!$C$9/100)*2200))*($E15)</f>
        <v>0</v>
      </c>
      <c r="I15" s="135">
        <f>('Data Entry'!$F$14*$F15)-(I$10/(('Data Entry'!$C$9/100)*2200))*($E15)</f>
        <v>0</v>
      </c>
      <c r="J15" s="135">
        <f>('Data Entry'!$F$14*$F15)-(J$10/(('Data Entry'!$C$9/100)*2200))*($E15)</f>
        <v>0</v>
      </c>
      <c r="K15" s="135">
        <f>('Data Entry'!$F$14*$F15)-(K$10/(('Data Entry'!$C$9/100)*2200))*($E15)</f>
        <v>0</v>
      </c>
      <c r="L15" s="135">
        <f>('Data Entry'!$F$14*$F15)-(L$10/(('Data Entry'!$C$9/100)*2200))*($E15)</f>
        <v>0</v>
      </c>
      <c r="M15" s="136">
        <f>('Data Entry'!$F$14*$F15)-(M$10/(('Data Entry'!$C$9/100)*2200))*($E15)</f>
        <v>0</v>
      </c>
    </row>
    <row r="16" spans="1:14" ht="15" x14ac:dyDescent="0.25">
      <c r="A16" s="16"/>
      <c r="B16" s="114"/>
      <c r="C16" s="115"/>
      <c r="D16" s="18"/>
      <c r="E16" s="190">
        <f>IF((E20-4*$C$10)&lt;0,0,(E20-4*$C$10))</f>
        <v>10</v>
      </c>
      <c r="F16" s="126">
        <f>IF(((-0.0038*(E16+$C$14)^2 + 0.5464*(E16+$C$14))-(-0.0038*($C$14)^2 + 0.5464*($C$14)))&lt;0,0,(-0.0038*(E16+$C$14)^2 + 0.5464*(E16+$C$14))-(-0.0038*($C$14)^2 + 0.5464*($C$14)))</f>
        <v>2.804000000000002</v>
      </c>
      <c r="G16" s="135">
        <f>('Data Entry'!$F$14*$F16)-(G$10/(('Data Entry'!$C$9/100)*2200))*($E16)</f>
        <v>8.5852173913043579</v>
      </c>
      <c r="H16" s="135">
        <f>('Data Entry'!$F$14*$F16)-(H$10/(('Data Entry'!$C$9/100)*2200))*($E16)</f>
        <v>8.0911462450592992</v>
      </c>
      <c r="I16" s="135">
        <f>('Data Entry'!$F$14*$F16)-(I$10/(('Data Entry'!$C$9/100)*2200))*($E16)</f>
        <v>7.5970750988142397</v>
      </c>
      <c r="J16" s="135">
        <f>('Data Entry'!$F$14*$F16)-(J$10/(('Data Entry'!$C$9/100)*2200))*($E16)</f>
        <v>7.1030039525691802</v>
      </c>
      <c r="K16" s="135">
        <f>('Data Entry'!$F$14*$F16)-(K$10/(('Data Entry'!$C$9/100)*2200))*($E16)</f>
        <v>6.6089328063241206</v>
      </c>
      <c r="L16" s="135">
        <f>('Data Entry'!$F$14*$F16)-(L$10/(('Data Entry'!$C$9/100)*2200))*($E16)</f>
        <v>6.114861660079062</v>
      </c>
      <c r="M16" s="136">
        <f>('Data Entry'!$F$14*$F16)-(M$10/(('Data Entry'!$C$9/100)*2200))*($E16)</f>
        <v>5.6207905138340024</v>
      </c>
    </row>
    <row r="17" spans="1:19" ht="15" x14ac:dyDescent="0.25">
      <c r="A17" s="16"/>
      <c r="B17" s="116"/>
      <c r="C17" s="117"/>
      <c r="D17" s="18"/>
      <c r="E17" s="190">
        <f>IF((E21-4*$C$10)&lt;0,0,(E21-4*$C$10))</f>
        <v>20</v>
      </c>
      <c r="F17" s="126">
        <f t="shared" ref="F17:F23" si="0">IF(((-0.0038*(E17+$C$14)^2 + 0.5464*(E17+$C$14))-(-0.0038*($C$14)^2 + 0.5464*($C$14)))&lt;0,0,(-0.0038*(E17+$C$14)^2 + 0.5464*(E17+$C$14))-(-0.0038*($C$14)^2 + 0.5464*($C$14)))</f>
        <v>4.8480000000000008</v>
      </c>
      <c r="G17" s="135">
        <f>('Data Entry'!$F$14*$F17)-(G$10/(('Data Entry'!$C$9/100)*2200))*($E17)</f>
        <v>13.370434782608697</v>
      </c>
      <c r="H17" s="135">
        <f>('Data Entry'!$F$14*$F17)-(H$10/(('Data Entry'!$C$9/100)*2200))*($E17)</f>
        <v>12.382292490118578</v>
      </c>
      <c r="I17" s="135">
        <f>('Data Entry'!$F$14*$F17)-(I$10/(('Data Entry'!$C$9/100)*2200))*($E17)</f>
        <v>11.394150197628461</v>
      </c>
      <c r="J17" s="135">
        <f>('Data Entry'!$F$14*$F17)-(J$10/(('Data Entry'!$C$9/100)*2200))*($E17)</f>
        <v>10.406007905138342</v>
      </c>
      <c r="K17" s="135">
        <f>('Data Entry'!$F$14*$F17)-(K$10/(('Data Entry'!$C$9/100)*2200))*($E17)</f>
        <v>9.4178656126482228</v>
      </c>
      <c r="L17" s="135">
        <f>('Data Entry'!$F$14*$F17)-(L$10/(('Data Entry'!$C$9/100)*2200))*($E17)</f>
        <v>8.4297233201581054</v>
      </c>
      <c r="M17" s="136">
        <f>('Data Entry'!$F$14*$F17)-(M$10/(('Data Entry'!$C$9/100)*2200))*($E17)</f>
        <v>7.4415810276679863</v>
      </c>
    </row>
    <row r="18" spans="1:19" ht="15.75" thickBot="1" x14ac:dyDescent="0.3">
      <c r="A18" s="16"/>
      <c r="B18" s="17"/>
      <c r="C18" s="18"/>
      <c r="D18" s="18"/>
      <c r="E18" s="193">
        <f>IF((E22-4*$C$10)&lt;0,0,(E22-4*$C$10))</f>
        <v>30</v>
      </c>
      <c r="F18" s="126">
        <f t="shared" si="0"/>
        <v>6.1319999999999997</v>
      </c>
      <c r="G18" s="135">
        <f>('Data Entry'!$F$14*$F18)-(G$10/(('Data Entry'!$C$9/100)*2200))*($E18)</f>
        <v>14.35565217391304</v>
      </c>
      <c r="H18" s="135">
        <f>('Data Entry'!$F$14*$F18)-(H$10/(('Data Entry'!$C$9/100)*2200))*($E18)</f>
        <v>12.87343873517786</v>
      </c>
      <c r="I18" s="135">
        <f>('Data Entry'!$F$14*$F18)-(I$10/(('Data Entry'!$C$9/100)*2200))*($E18)</f>
        <v>11.391225296442684</v>
      </c>
      <c r="J18" s="135">
        <f>('Data Entry'!$F$14*$F18)-(J$10/(('Data Entry'!$C$9/100)*2200))*($E18)</f>
        <v>9.9090118577075046</v>
      </c>
      <c r="K18" s="135">
        <f>('Data Entry'!$F$14*$F18)-(K$10/(('Data Entry'!$C$9/100)*2200))*($E18)</f>
        <v>8.4267984189723286</v>
      </c>
      <c r="L18" s="135">
        <f>('Data Entry'!$F$14*$F18)-(L$10/(('Data Entry'!$C$9/100)*2200))*($E18)</f>
        <v>6.9445849802371526</v>
      </c>
      <c r="M18" s="136">
        <f>('Data Entry'!$F$14*$F18)-(M$10/(('Data Entry'!$C$9/100)*2200))*($E18)</f>
        <v>5.4623715415019731</v>
      </c>
    </row>
    <row r="19" spans="1:19" ht="15.75" thickBot="1" x14ac:dyDescent="0.3">
      <c r="A19" s="16"/>
      <c r="B19" s="47"/>
      <c r="C19" s="48"/>
      <c r="D19" s="49" t="s">
        <v>13</v>
      </c>
      <c r="E19" s="50">
        <f>'Data Entry'!H9</f>
        <v>40</v>
      </c>
      <c r="F19" s="192">
        <f t="shared" si="0"/>
        <v>6.655999999999997</v>
      </c>
      <c r="G19" s="135">
        <f>('Data Entry'!$F$14*$F19)-(G$10/(('Data Entry'!$C$9/100)*2200))*($E19)</f>
        <v>11.540869565217378</v>
      </c>
      <c r="H19" s="135">
        <f>('Data Entry'!$F$14*$F19)-(H$10/(('Data Entry'!$C$9/100)*2200))*($E19)</f>
        <v>9.5645849802371394</v>
      </c>
      <c r="I19" s="135">
        <f>('Data Entry'!$F$14*$F19)-(I$10/(('Data Entry'!$C$9/100)*2200))*($E19)</f>
        <v>7.5883003952569048</v>
      </c>
      <c r="J19" s="135">
        <f>('Data Entry'!$F$14*$F19)-(J$10/(('Data Entry'!$C$9/100)*2200))*($E19)</f>
        <v>5.6120158102766666</v>
      </c>
      <c r="K19" s="135">
        <f>('Data Entry'!$F$14*$F19)-(K$10/(('Data Entry'!$C$9/100)*2200))*($E19)</f>
        <v>3.6357312252964284</v>
      </c>
      <c r="L19" s="135">
        <f>('Data Entry'!$F$14*$F19)-(L$10/(('Data Entry'!$C$9/100)*2200))*($E19)</f>
        <v>1.6594466403161938</v>
      </c>
      <c r="M19" s="136">
        <f>('Data Entry'!$F$14*$F19)-(M$10/(('Data Entry'!$C$9/100)*2200))*($E19)</f>
        <v>-0.31683794466404436</v>
      </c>
    </row>
    <row r="20" spans="1:19" ht="15" x14ac:dyDescent="0.25">
      <c r="A20" s="16"/>
      <c r="B20" s="17"/>
      <c r="C20" s="18"/>
      <c r="D20" s="18"/>
      <c r="E20" s="194">
        <f>E19+C10</f>
        <v>50</v>
      </c>
      <c r="F20" s="126">
        <f t="shared" si="0"/>
        <v>6.4200000000000035</v>
      </c>
      <c r="G20" s="135">
        <f>('Data Entry'!$F$14*$F20)-(G$10/(('Data Entry'!$C$9/100)*2200))*($E20)</f>
        <v>4.9260869565217575</v>
      </c>
      <c r="H20" s="135">
        <f>('Data Entry'!$F$14*$F20)-(H$10/(('Data Entry'!$C$9/100)*2200))*($E20)</f>
        <v>2.4557312252964572</v>
      </c>
      <c r="I20" s="135">
        <f>('Data Entry'!$F$14*$F20)-(I$10/(('Data Entry'!$C$9/100)*2200))*($E20)</f>
        <v>-1.4624505928836129E-2</v>
      </c>
      <c r="J20" s="135">
        <f>('Data Entry'!$F$14*$F20)-(J$10/(('Data Entry'!$C$9/100)*2200))*($E20)</f>
        <v>-2.484980237154133</v>
      </c>
      <c r="K20" s="135">
        <f>('Data Entry'!$F$14*$F20)-(K$10/(('Data Entry'!$C$9/100)*2200))*($E20)</f>
        <v>-4.9553359683794369</v>
      </c>
      <c r="L20" s="135">
        <f>('Data Entry'!$F$14*$F20)-(L$10/(('Data Entry'!$C$9/100)*2200))*($E20)</f>
        <v>-7.4256916996047266</v>
      </c>
      <c r="M20" s="136">
        <f>('Data Entry'!$F$14*$F20)-(M$10/(('Data Entry'!$C$9/100)*2200))*($E20)</f>
        <v>-9.8960474308300235</v>
      </c>
    </row>
    <row r="21" spans="1:19" ht="15" x14ac:dyDescent="0.25">
      <c r="A21" s="16"/>
      <c r="B21" s="17"/>
      <c r="C21" s="52"/>
      <c r="D21" s="18"/>
      <c r="E21" s="190">
        <f>E19+2*C10</f>
        <v>60</v>
      </c>
      <c r="F21" s="126">
        <f t="shared" si="0"/>
        <v>5.4240000000000013</v>
      </c>
      <c r="G21" s="135">
        <f>('Data Entry'!$F$14*$F21)-(G$10/(('Data Entry'!$C$9/100)*2200))*($E21)</f>
        <v>-5.4886956521739094</v>
      </c>
      <c r="H21" s="135">
        <f>('Data Entry'!$F$14*$F21)-(H$10/(('Data Entry'!$C$9/100)*2200))*($E21)</f>
        <v>-8.4531225296442685</v>
      </c>
      <c r="I21" s="135">
        <f>('Data Entry'!$F$14*$F21)-(I$10/(('Data Entry'!$C$9/100)*2200))*($E21)</f>
        <v>-11.41754940711462</v>
      </c>
      <c r="J21" s="135">
        <f>('Data Entry'!$F$14*$F21)-(J$10/(('Data Entry'!$C$9/100)*2200))*($E21)</f>
        <v>-14.381976284584979</v>
      </c>
      <c r="K21" s="135">
        <f>('Data Entry'!$F$14*$F21)-(K$10/(('Data Entry'!$C$9/100)*2200))*($E21)</f>
        <v>-17.346403162055331</v>
      </c>
      <c r="L21" s="135">
        <f>('Data Entry'!$F$14*$F21)-(L$10/(('Data Entry'!$C$9/100)*2200))*($E21)</f>
        <v>-20.310830039525683</v>
      </c>
      <c r="M21" s="136">
        <f>('Data Entry'!$F$14*$F21)-(M$10/(('Data Entry'!$C$9/100)*2200))*($E21)</f>
        <v>-23.275256916996042</v>
      </c>
    </row>
    <row r="22" spans="1:19" ht="15" x14ac:dyDescent="0.25">
      <c r="A22" s="16"/>
      <c r="B22" s="17"/>
      <c r="C22" s="18"/>
      <c r="D22" s="18"/>
      <c r="E22" s="190">
        <f>E19+3*C10</f>
        <v>70</v>
      </c>
      <c r="F22" s="126">
        <f t="shared" si="0"/>
        <v>3.668000000000001</v>
      </c>
      <c r="G22" s="135">
        <f>('Data Entry'!$F$14*$F22)-(G$10/(('Data Entry'!$C$9/100)*2200))*($E22)</f>
        <v>-19.703478260869559</v>
      </c>
      <c r="H22" s="135">
        <f>('Data Entry'!$F$14*$F22)-(H$10/(('Data Entry'!$C$9/100)*2200))*($E22)</f>
        <v>-23.161976284584981</v>
      </c>
      <c r="I22" s="135">
        <f>('Data Entry'!$F$14*$F22)-(I$10/(('Data Entry'!$C$9/100)*2200))*($E22)</f>
        <v>-26.620474308300388</v>
      </c>
      <c r="J22" s="135">
        <f>('Data Entry'!$F$14*$F22)-(J$10/(('Data Entry'!$C$9/100)*2200))*($E22)</f>
        <v>-30.078972332015809</v>
      </c>
      <c r="K22" s="135">
        <f>('Data Entry'!$F$14*$F22)-(K$10/(('Data Entry'!$C$9/100)*2200))*($E22)</f>
        <v>-33.537470355731223</v>
      </c>
      <c r="L22" s="135">
        <f>('Data Entry'!$F$14*$F22)-(L$10/(('Data Entry'!$C$9/100)*2200))*($E22)</f>
        <v>-36.995968379446637</v>
      </c>
      <c r="M22" s="136">
        <f>('Data Entry'!$F$14*$F22)-(M$10/(('Data Entry'!$C$9/100)*2200))*($E22)</f>
        <v>-40.454466403162051</v>
      </c>
    </row>
    <row r="23" spans="1:19" ht="15" x14ac:dyDescent="0.25">
      <c r="A23" s="16"/>
      <c r="B23" s="17"/>
      <c r="C23" s="18"/>
      <c r="D23" s="18"/>
      <c r="E23" s="190">
        <f>E19+4*C10</f>
        <v>80</v>
      </c>
      <c r="F23" s="126">
        <f t="shared" si="0"/>
        <v>1.1520000000000028</v>
      </c>
      <c r="G23" s="135">
        <f>('Data Entry'!$F$14*$F23)-(G$10/(('Data Entry'!$C$9/100)*2200))*($E23)</f>
        <v>-37.718260869565206</v>
      </c>
      <c r="H23" s="135">
        <f>('Data Entry'!$F$14*$F23)-(H$10/(('Data Entry'!$C$9/100)*2200))*($E23)</f>
        <v>-41.670830039525683</v>
      </c>
      <c r="I23" s="135">
        <f>('Data Entry'!$F$14*$F23)-(I$10/(('Data Entry'!$C$9/100)*2200))*($E23)</f>
        <v>-45.623399209486152</v>
      </c>
      <c r="J23" s="135">
        <f>('Data Entry'!$F$14*$F23)-(J$10/(('Data Entry'!$C$9/100)*2200))*($E23)</f>
        <v>-49.575968379446628</v>
      </c>
      <c r="K23" s="135">
        <f>('Data Entry'!$F$14*$F23)-(K$10/(('Data Entry'!$C$9/100)*2200))*($E23)</f>
        <v>-53.528537549407105</v>
      </c>
      <c r="L23" s="135">
        <f>('Data Entry'!$F$14*$F23)-(L$10/(('Data Entry'!$C$9/100)*2200))*($E23)</f>
        <v>-57.481106719367574</v>
      </c>
      <c r="M23" s="136">
        <f>('Data Entry'!$F$14*$F23)-(M$10/(('Data Entry'!$C$9/100)*2200))*($E23)</f>
        <v>-61.43367588932805</v>
      </c>
    </row>
    <row r="24" spans="1:19" ht="13.5" customHeight="1" x14ac:dyDescent="0.2">
      <c r="A24" s="16"/>
      <c r="B24" s="17"/>
      <c r="C24" s="18"/>
      <c r="D24" s="18"/>
      <c r="E24" s="266" t="s">
        <v>52</v>
      </c>
      <c r="F24" s="267"/>
      <c r="G24" s="272"/>
      <c r="H24" s="272"/>
      <c r="I24" s="272"/>
      <c r="J24" s="272"/>
      <c r="K24" s="272"/>
      <c r="L24" s="272"/>
      <c r="M24" s="273"/>
    </row>
    <row r="25" spans="1:19" ht="9.75" customHeight="1" x14ac:dyDescent="0.2">
      <c r="A25" s="16"/>
      <c r="B25" s="17"/>
      <c r="C25" s="18"/>
      <c r="D25" s="18"/>
      <c r="E25" s="266" t="s">
        <v>16</v>
      </c>
      <c r="F25" s="267"/>
      <c r="G25" s="267"/>
      <c r="H25" s="267"/>
      <c r="I25" s="267"/>
      <c r="J25" s="267"/>
      <c r="K25" s="267"/>
      <c r="L25" s="267"/>
      <c r="M25" s="268"/>
    </row>
    <row r="26" spans="1:19" ht="9.75" customHeight="1" x14ac:dyDescent="0.2">
      <c r="A26" s="16"/>
      <c r="B26" s="17"/>
      <c r="C26" s="18"/>
      <c r="D26" s="18"/>
      <c r="E26" s="266" t="s">
        <v>19</v>
      </c>
      <c r="F26" s="267"/>
      <c r="G26" s="267"/>
      <c r="H26" s="267"/>
      <c r="I26" s="267"/>
      <c r="J26" s="267"/>
      <c r="K26" s="267"/>
      <c r="L26" s="267"/>
      <c r="M26" s="268"/>
    </row>
    <row r="27" spans="1:19" ht="11.25" customHeight="1" x14ac:dyDescent="0.2">
      <c r="A27" s="16"/>
      <c r="B27" s="17"/>
      <c r="C27" s="18"/>
      <c r="D27" s="18"/>
      <c r="E27" s="262" t="s">
        <v>85</v>
      </c>
      <c r="F27" s="287"/>
      <c r="G27" s="287"/>
      <c r="H27" s="287"/>
      <c r="I27" s="287"/>
      <c r="J27" s="287"/>
      <c r="K27" s="287"/>
      <c r="L27" s="287"/>
      <c r="M27" s="246"/>
      <c r="N27" s="130"/>
      <c r="O27"/>
      <c r="P27"/>
      <c r="Q27"/>
      <c r="R27"/>
      <c r="S27"/>
    </row>
    <row r="28" spans="1:19" ht="12" customHeight="1" thickBot="1" x14ac:dyDescent="0.25">
      <c r="A28" s="16"/>
      <c r="B28" s="17"/>
      <c r="C28" s="18"/>
      <c r="D28" s="18"/>
      <c r="E28" s="277" t="s">
        <v>38</v>
      </c>
      <c r="F28" s="279"/>
      <c r="G28" s="279"/>
      <c r="H28" s="279"/>
      <c r="I28" s="279"/>
      <c r="J28" s="280"/>
      <c r="K28" s="280"/>
      <c r="L28" s="280"/>
      <c r="M28" s="281"/>
    </row>
    <row r="29" spans="1:19" ht="11.25" customHeight="1" x14ac:dyDescent="0.2">
      <c r="A29" s="16"/>
      <c r="B29" s="17"/>
      <c r="C29" s="18"/>
      <c r="D29" s="18"/>
      <c r="E29" s="53"/>
      <c r="F29" s="53"/>
      <c r="G29" s="53"/>
      <c r="H29" s="53"/>
      <c r="I29" s="53"/>
      <c r="J29" s="12"/>
      <c r="K29" s="12"/>
      <c r="L29" s="12"/>
      <c r="M29" s="15"/>
    </row>
    <row r="30" spans="1:19" ht="11.25" customHeight="1" thickBot="1" x14ac:dyDescent="0.25">
      <c r="B30" s="252"/>
      <c r="C30" s="253"/>
      <c r="D30" s="253"/>
      <c r="E30" s="253"/>
      <c r="F30" s="253"/>
      <c r="G30" s="253"/>
      <c r="H30" s="253"/>
      <c r="I30" s="253"/>
      <c r="J30" s="55"/>
      <c r="K30" s="55"/>
      <c r="L30" s="55"/>
      <c r="M30" s="56"/>
    </row>
  </sheetData>
  <sheetProtection password="CE5A" sheet="1" objects="1" scenarios="1"/>
  <mergeCells count="15">
    <mergeCell ref="E28:M28"/>
    <mergeCell ref="E27:M27"/>
    <mergeCell ref="D5:F5"/>
    <mergeCell ref="G5:J5"/>
    <mergeCell ref="K5:M5"/>
    <mergeCell ref="B30:I30"/>
    <mergeCell ref="B2:M2"/>
    <mergeCell ref="B3:M3"/>
    <mergeCell ref="B7:C7"/>
    <mergeCell ref="H8:L8"/>
    <mergeCell ref="E25:M25"/>
    <mergeCell ref="E26:M26"/>
    <mergeCell ref="G12:M12"/>
    <mergeCell ref="G13:M13"/>
    <mergeCell ref="E24:M24"/>
  </mergeCells>
  <phoneticPr fontId="15" type="noConversion"/>
  <conditionalFormatting sqref="I15:I23">
    <cfRule type="cellIs" dxfId="125" priority="1" stopIfTrue="1" operator="between">
      <formula>MAX($I$15:$I$23)-0.5</formula>
      <formula>MAX($I$15:$I$23)+0.5</formula>
    </cfRule>
    <cfRule type="cellIs" dxfId="124" priority="2" stopIfTrue="1" operator="between">
      <formula>MAX($I$15:$I$23)-0.5</formula>
      <formula>MAX($I$15:$I$23)-1.5</formula>
    </cfRule>
    <cfRule type="cellIs" dxfId="123" priority="3" stopIfTrue="1" operator="between">
      <formula>MAX($I$15:$I$23)+0.5</formula>
      <formula>MAX($I$15:$I$23)+1.5</formula>
    </cfRule>
  </conditionalFormatting>
  <conditionalFormatting sqref="J15:J23">
    <cfRule type="cellIs" dxfId="122" priority="4" stopIfTrue="1" operator="between">
      <formula>MAX($J$15:$J$23)-0.5</formula>
      <formula>MAX($J$15:$J$23)+0.5</formula>
    </cfRule>
    <cfRule type="cellIs" dxfId="121" priority="5" stopIfTrue="1" operator="between">
      <formula>MAX($J$15:$J$23)-0.5</formula>
      <formula>MAX($J$15:$J$23)-1.5</formula>
    </cfRule>
    <cfRule type="cellIs" dxfId="120" priority="6" stopIfTrue="1" operator="between">
      <formula>MAX($J$15:$J$23)+0.5</formula>
      <formula>MAX($J$15:$J$23)+1.5</formula>
    </cfRule>
  </conditionalFormatting>
  <conditionalFormatting sqref="K15:K23">
    <cfRule type="cellIs" dxfId="119" priority="7" stopIfTrue="1" operator="between">
      <formula>MAX($K$15:$K$23)-0.5</formula>
      <formula>MAX($K$15:$K$23)+0.5</formula>
    </cfRule>
    <cfRule type="cellIs" dxfId="118" priority="8" stopIfTrue="1" operator="between">
      <formula>MAX($K$15:$K$23)-0.5</formula>
      <formula>MAX($K$15:$K$23)-1.5</formula>
    </cfRule>
    <cfRule type="cellIs" dxfId="117" priority="9" stopIfTrue="1" operator="between">
      <formula>MAX($K$15:$K$23)+0.5</formula>
      <formula>MAX($K$15:$K$23)+1.5</formula>
    </cfRule>
  </conditionalFormatting>
  <conditionalFormatting sqref="G15:G23">
    <cfRule type="cellIs" dxfId="116" priority="10" stopIfTrue="1" operator="between">
      <formula>MAX($G$15:$G$23)-0.5</formula>
      <formula>MAX($G$15:$G$23)+0.5</formula>
    </cfRule>
    <cfRule type="cellIs" dxfId="115" priority="11" stopIfTrue="1" operator="between">
      <formula>MAX($G$15:$G$23)-0.5</formula>
      <formula>MAX($G$15:$G$23)-1.5</formula>
    </cfRule>
    <cfRule type="cellIs" dxfId="114" priority="12" stopIfTrue="1" operator="between">
      <formula>MAX($G$15:$G$23)+0.5</formula>
      <formula>MAX($G$15:$G$23)+1.5</formula>
    </cfRule>
  </conditionalFormatting>
  <conditionalFormatting sqref="H15:H23">
    <cfRule type="cellIs" dxfId="113" priority="13" stopIfTrue="1" operator="between">
      <formula>MAX($H$15:$H$23)-0.5</formula>
      <formula>MAX($H$15:$H$23)+0.5</formula>
    </cfRule>
    <cfRule type="cellIs" dxfId="112" priority="14" stopIfTrue="1" operator="between">
      <formula>MAX($H$15:$H$23)-0.5</formula>
      <formula>MAX($H$15:$H$23)-1.5</formula>
    </cfRule>
    <cfRule type="cellIs" dxfId="111" priority="15" stopIfTrue="1" operator="between">
      <formula>MAX($H$15:$H$23)+0.5</formula>
      <formula>MAX($H$15:$HG$23)+1.5</formula>
    </cfRule>
  </conditionalFormatting>
  <conditionalFormatting sqref="L15:L23">
    <cfRule type="cellIs" dxfId="110" priority="16" stopIfTrue="1" operator="between">
      <formula>MAX($L$15:$L$23)-0.5</formula>
      <formula>MAX($L$15:$L$23)+0.5</formula>
    </cfRule>
    <cfRule type="cellIs" dxfId="109" priority="17" stopIfTrue="1" operator="between">
      <formula>MAX($L$15:$L$23)-0.5</formula>
      <formula>MAX($L$15:$L$23)-1.5</formula>
    </cfRule>
    <cfRule type="cellIs" dxfId="108" priority="18" stopIfTrue="1" operator="between">
      <formula>MAX($L$15:$L$23)+0.5</formula>
      <formula>MAX($L$15:$L$23)+1.5</formula>
    </cfRule>
  </conditionalFormatting>
  <conditionalFormatting sqref="M15:M23">
    <cfRule type="cellIs" dxfId="107" priority="19" stopIfTrue="1" operator="between">
      <formula>MAX($M$15:$M$23)-0.5</formula>
      <formula>MAX($M$15:$M$23)+0.5</formula>
    </cfRule>
    <cfRule type="cellIs" dxfId="106" priority="20" stopIfTrue="1" operator="between">
      <formula>MAX($M$15:$M$23)-0.5</formula>
      <formula>MAX($M$15:$M$23)-1.5</formula>
    </cfRule>
    <cfRule type="cellIs" dxfId="105" priority="21" stopIfTrue="1" operator="between">
      <formula>MAX($M$15:$M$23)+0.5</formula>
      <formula>MAX($M$15:$M$23)+1.5</formula>
    </cfRule>
  </conditionalFormatting>
  <hyperlinks>
    <hyperlink ref="D5" location="'Wheat (Arid) Crop'!A1" display="Return to Wheat (Arid) as variable"/>
    <hyperlink ref="G5" location="'Wheat (Arid) MR'!A1" display="Go to Marginal Cost Chart"/>
    <hyperlink ref="K5" location="'Data Entry'!A1" display="Return to Data Entry"/>
  </hyperlinks>
  <pageMargins left="0.75" right="0.75" top="1" bottom="1" header="0.5" footer="0.5"/>
  <pageSetup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showGridLines="0" workbookViewId="0">
      <selection activeCell="F16" sqref="F16"/>
    </sheetView>
  </sheetViews>
  <sheetFormatPr defaultRowHeight="12.75" x14ac:dyDescent="0.2"/>
  <cols>
    <col min="1" max="1" width="1.5703125" style="10" customWidth="1"/>
    <col min="2" max="2" width="17.28515625" style="10" customWidth="1"/>
    <col min="3" max="5" width="9.140625" style="10"/>
    <col min="6" max="6" width="13.85546875" style="10" customWidth="1"/>
    <col min="7" max="13" width="9.140625" style="10"/>
    <col min="14" max="14" width="11.5703125" style="10" customWidth="1"/>
    <col min="15" max="16384" width="9.140625" style="10"/>
  </cols>
  <sheetData>
    <row r="1" spans="1:14" ht="6" customHeight="1" thickBot="1" x14ac:dyDescent="0.25">
      <c r="B1" s="11"/>
      <c r="C1" s="11"/>
      <c r="D1" s="11"/>
      <c r="E1" s="11"/>
      <c r="F1" s="11"/>
      <c r="G1" s="11"/>
      <c r="H1" s="11"/>
      <c r="I1" s="11"/>
    </row>
    <row r="2" spans="1:14" ht="20.25" x14ac:dyDescent="0.3">
      <c r="A2" s="11"/>
      <c r="B2" s="234" t="s">
        <v>40</v>
      </c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6"/>
    </row>
    <row r="3" spans="1:14" ht="20.25" x14ac:dyDescent="0.3">
      <c r="A3" s="11"/>
      <c r="B3" s="237" t="s">
        <v>47</v>
      </c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9"/>
    </row>
    <row r="4" spans="1:14" ht="6.75" customHeight="1" x14ac:dyDescent="0.3">
      <c r="A4" s="11"/>
      <c r="B4" s="13"/>
      <c r="C4" s="14"/>
      <c r="D4" s="14"/>
      <c r="E4" s="14"/>
      <c r="F4" s="14"/>
      <c r="G4" s="14"/>
      <c r="H4" s="14"/>
      <c r="I4" s="14"/>
      <c r="J4" s="12"/>
      <c r="K4" s="12"/>
      <c r="L4" s="12"/>
      <c r="M4" s="15"/>
      <c r="N4" s="158"/>
    </row>
    <row r="5" spans="1:14" x14ac:dyDescent="0.2">
      <c r="B5" s="198"/>
      <c r="C5" s="199"/>
      <c r="D5" s="282" t="s">
        <v>82</v>
      </c>
      <c r="E5" s="283"/>
      <c r="F5" s="283"/>
      <c r="G5" s="282" t="s">
        <v>69</v>
      </c>
      <c r="H5" s="283"/>
      <c r="I5" s="283"/>
      <c r="J5" s="283"/>
      <c r="K5" s="245" t="s">
        <v>96</v>
      </c>
      <c r="L5" s="244"/>
      <c r="M5" s="246"/>
    </row>
    <row r="6" spans="1:14" ht="4.5" customHeight="1" x14ac:dyDescent="0.2">
      <c r="A6" s="16"/>
      <c r="B6" s="17"/>
      <c r="C6" s="18"/>
      <c r="D6" s="18"/>
      <c r="E6" s="18"/>
      <c r="F6" s="18"/>
      <c r="G6" s="18"/>
      <c r="H6" s="18"/>
      <c r="I6" s="18"/>
      <c r="J6" s="12"/>
      <c r="K6" s="12"/>
      <c r="L6" s="12"/>
      <c r="M6" s="15"/>
      <c r="N6" s="158"/>
    </row>
    <row r="7" spans="1:14" ht="15.75" customHeight="1" thickBot="1" x14ac:dyDescent="0.3">
      <c r="A7" s="16"/>
      <c r="B7" s="288" t="s">
        <v>61</v>
      </c>
      <c r="C7" s="289"/>
      <c r="D7" s="18"/>
      <c r="E7" s="18"/>
      <c r="F7" s="18"/>
      <c r="G7" s="18"/>
      <c r="H7" s="19"/>
      <c r="I7" s="18"/>
      <c r="J7" s="19"/>
      <c r="K7" s="12"/>
      <c r="L7" s="12"/>
      <c r="M7" s="15"/>
    </row>
    <row r="8" spans="1:14" ht="15" customHeight="1" x14ac:dyDescent="0.25">
      <c r="A8" s="16"/>
      <c r="B8" s="87" t="s">
        <v>58</v>
      </c>
      <c r="C8" s="21" t="s">
        <v>62</v>
      </c>
      <c r="D8" s="18"/>
      <c r="E8" s="22"/>
      <c r="F8" s="23"/>
      <c r="G8" s="23"/>
      <c r="H8" s="242" t="s">
        <v>63</v>
      </c>
      <c r="I8" s="243"/>
      <c r="J8" s="243"/>
      <c r="K8" s="243"/>
      <c r="L8" s="243"/>
      <c r="M8" s="24"/>
    </row>
    <row r="9" spans="1:14" ht="15" x14ac:dyDescent="0.2">
      <c r="A9" s="16"/>
      <c r="B9" s="20" t="s">
        <v>60</v>
      </c>
      <c r="C9" s="83">
        <f>'Data Entry'!F15</f>
        <v>2.5</v>
      </c>
      <c r="D9" s="18"/>
      <c r="E9" s="17"/>
      <c r="F9" s="18"/>
      <c r="G9" s="18"/>
      <c r="H9" s="19"/>
      <c r="I9" s="18"/>
      <c r="J9" s="19"/>
      <c r="K9" s="12"/>
      <c r="L9" s="12"/>
      <c r="M9" s="15"/>
    </row>
    <row r="10" spans="1:14" ht="15" x14ac:dyDescent="0.25">
      <c r="A10" s="16"/>
      <c r="B10" s="30" t="s">
        <v>20</v>
      </c>
      <c r="C10" s="106">
        <f>'Data Entry'!C11</f>
        <v>10</v>
      </c>
      <c r="D10" s="18"/>
      <c r="E10" s="17"/>
      <c r="F10" s="18"/>
      <c r="G10" s="108">
        <f>H10-$C$12</f>
        <v>550</v>
      </c>
      <c r="H10" s="108">
        <f>I10-$C$12</f>
        <v>600</v>
      </c>
      <c r="I10" s="108">
        <f>J10-$C$12</f>
        <v>650</v>
      </c>
      <c r="J10" s="109">
        <f>'Data Entry'!C8</f>
        <v>700</v>
      </c>
      <c r="K10" s="108">
        <f>J10+$C$12</f>
        <v>750</v>
      </c>
      <c r="L10" s="108">
        <f>K10+$C$12</f>
        <v>800</v>
      </c>
      <c r="M10" s="110">
        <f>L10+$C$12</f>
        <v>850</v>
      </c>
    </row>
    <row r="11" spans="1:14" ht="15" x14ac:dyDescent="0.25">
      <c r="A11" s="16"/>
      <c r="B11" s="33" t="s">
        <v>106</v>
      </c>
      <c r="C11" s="46"/>
      <c r="D11" s="18"/>
      <c r="E11" s="17"/>
      <c r="F11" s="29" t="s">
        <v>6</v>
      </c>
      <c r="G11" s="18"/>
      <c r="H11" s="18"/>
      <c r="I11" s="18"/>
      <c r="J11" s="12"/>
      <c r="K11" s="12"/>
      <c r="L11" s="12"/>
      <c r="M11" s="15"/>
    </row>
    <row r="12" spans="1:14" ht="15" x14ac:dyDescent="0.25">
      <c r="A12" s="16"/>
      <c r="B12" s="37" t="s">
        <v>56</v>
      </c>
      <c r="C12" s="61">
        <f>'Data Entry'!C17</f>
        <v>50</v>
      </c>
      <c r="D12" s="18"/>
      <c r="E12" s="32"/>
      <c r="F12" s="29" t="s">
        <v>7</v>
      </c>
      <c r="G12" s="269" t="s">
        <v>8</v>
      </c>
      <c r="H12" s="269"/>
      <c r="I12" s="269"/>
      <c r="J12" s="269"/>
      <c r="K12" s="269"/>
      <c r="L12" s="269"/>
      <c r="M12" s="270"/>
    </row>
    <row r="13" spans="1:14" ht="15.75" thickBot="1" x14ac:dyDescent="0.3">
      <c r="A13" s="16"/>
      <c r="B13" s="43" t="s">
        <v>28</v>
      </c>
      <c r="C13" s="46"/>
      <c r="D13" s="18"/>
      <c r="E13" s="35" t="s">
        <v>9</v>
      </c>
      <c r="F13" s="36" t="s">
        <v>10</v>
      </c>
      <c r="G13" s="247" t="s">
        <v>23</v>
      </c>
      <c r="H13" s="247"/>
      <c r="I13" s="247"/>
      <c r="J13" s="247"/>
      <c r="K13" s="247"/>
      <c r="L13" s="247"/>
      <c r="M13" s="248"/>
    </row>
    <row r="14" spans="1:14" ht="15" x14ac:dyDescent="0.25">
      <c r="A14" s="16"/>
      <c r="B14" s="113" t="s">
        <v>29</v>
      </c>
      <c r="C14" s="107">
        <f>'Data Entry'!C15</f>
        <v>30</v>
      </c>
      <c r="D14" s="18"/>
      <c r="E14" s="39" t="s">
        <v>11</v>
      </c>
      <c r="F14" s="40" t="s">
        <v>12</v>
      </c>
      <c r="G14" s="111">
        <f>'Data Entry'!$F$15/(G$10/(('Data Entry'!$C$9/100)*2200))</f>
        <v>4.6000000000000005</v>
      </c>
      <c r="H14" s="111">
        <f>'Data Entry'!$F$15/(H$10/(('Data Entry'!$C$9/100)*2200))</f>
        <v>4.2166666666666668</v>
      </c>
      <c r="I14" s="111">
        <f>'Data Entry'!$F$15/(I$10/(('Data Entry'!$C$9/100)*2200))</f>
        <v>3.8923076923076927</v>
      </c>
      <c r="J14" s="111">
        <f>'Data Entry'!$F$15/(J$10/(('Data Entry'!$C$9/100)*2200))</f>
        <v>3.6142857142857143</v>
      </c>
      <c r="K14" s="111">
        <f>'Data Entry'!$F$15/(K$10/(('Data Entry'!$C$9/100)*2200))</f>
        <v>3.3733333333333331</v>
      </c>
      <c r="L14" s="111">
        <f>'Data Entry'!$F$15/(L$10/(('Data Entry'!$C$9/100)*2200))</f>
        <v>3.1625000000000001</v>
      </c>
      <c r="M14" s="112">
        <f>'Data Entry'!$F$15/(M$10/(('Data Entry'!$C$9/100)*2200))</f>
        <v>2.9764705882352942</v>
      </c>
    </row>
    <row r="15" spans="1:14" ht="15" x14ac:dyDescent="0.25">
      <c r="A15" s="16"/>
      <c r="B15" s="43" t="s">
        <v>30</v>
      </c>
      <c r="C15" s="46"/>
      <c r="D15" s="18"/>
      <c r="E15" s="190">
        <f>IF((E19-4*$C$10)&lt;0,0,(E19-4*$C$10))</f>
        <v>50</v>
      </c>
      <c r="F15" s="126">
        <f t="shared" ref="F15:F23" si="0">IF(((-0.0037*(E15+$C$14)^2 +1.152*(E15+$C$14))-(-0.0037*($C$14)^2 + 1.152*($C$14)))&lt;0,0,((-0.0037*(E15+$C$14)^2 +1.152*(E15+$C$14))-(-0.0037*($C$14)^2 + 1.152*($C$14))))</f>
        <v>37.249999999999993</v>
      </c>
      <c r="G15" s="135">
        <f>('Data Entry'!$F$15*$F15)-(G$10/(('Data Entry'!$C$9/100)*2200))*($E15)</f>
        <v>65.951086956521721</v>
      </c>
      <c r="H15" s="135">
        <f>('Data Entry'!$F$15*$F15)-(H$10/(('Data Entry'!$C$9/100)*2200))*($E15)</f>
        <v>63.480731225296424</v>
      </c>
      <c r="I15" s="135">
        <f>('Data Entry'!$F$15*$F15)-(I$10/(('Data Entry'!$C$9/100)*2200))*($E15)</f>
        <v>61.010375494071134</v>
      </c>
      <c r="J15" s="135">
        <f>('Data Entry'!$F$15*$F15)-(J$10/(('Data Entry'!$C$9/100)*2200))*($E15)</f>
        <v>58.540019762845837</v>
      </c>
      <c r="K15" s="135">
        <f>('Data Entry'!$F$15*$F15)-(K$10/(('Data Entry'!$C$9/100)*2200))*($E15)</f>
        <v>56.069664031620533</v>
      </c>
      <c r="L15" s="135">
        <f>('Data Entry'!$F$15*$F15)-(L$10/(('Data Entry'!$C$9/100)*2200))*($E15)</f>
        <v>53.599308300395244</v>
      </c>
      <c r="M15" s="136">
        <f>('Data Entry'!$F$15*$F15)-(M$10/(('Data Entry'!$C$9/100)*2200))*($E15)</f>
        <v>51.128952569169947</v>
      </c>
    </row>
    <row r="16" spans="1:14" ht="15" x14ac:dyDescent="0.25">
      <c r="A16" s="16"/>
      <c r="B16" s="54"/>
      <c r="D16" s="18"/>
      <c r="E16" s="190">
        <f>IF((E20-4*$C$10)&lt;0,0,(E20-4*$C$10))</f>
        <v>60</v>
      </c>
      <c r="F16" s="126">
        <f t="shared" si="0"/>
        <v>42.48</v>
      </c>
      <c r="G16" s="135">
        <f>('Data Entry'!$F$15*$F16)-(G$10/(('Data Entry'!$C$9/100)*2200))*($E16)</f>
        <v>73.591304347826082</v>
      </c>
      <c r="H16" s="135">
        <f>('Data Entry'!$F$15*$F16)-(H$10/(('Data Entry'!$C$9/100)*2200))*($E16)</f>
        <v>70.626877470355709</v>
      </c>
      <c r="I16" s="135">
        <f>('Data Entry'!$F$15*$F16)-(I$10/(('Data Entry'!$C$9/100)*2200))*($E16)</f>
        <v>67.662450592885364</v>
      </c>
      <c r="J16" s="135">
        <f>('Data Entry'!$F$15*$F16)-(J$10/(('Data Entry'!$C$9/100)*2200))*($E16)</f>
        <v>64.698023715415005</v>
      </c>
      <c r="K16" s="135">
        <f>('Data Entry'!$F$15*$F16)-(K$10/(('Data Entry'!$C$9/100)*2200))*($E16)</f>
        <v>61.733596837944653</v>
      </c>
      <c r="L16" s="135">
        <f>('Data Entry'!$F$15*$F16)-(L$10/(('Data Entry'!$C$9/100)*2200))*($E16)</f>
        <v>58.769169960474301</v>
      </c>
      <c r="M16" s="136">
        <f>('Data Entry'!$F$15*$F16)-(M$10/(('Data Entry'!$C$9/100)*2200))*($E16)</f>
        <v>55.804743083003942</v>
      </c>
    </row>
    <row r="17" spans="1:19" ht="15" x14ac:dyDescent="0.25">
      <c r="A17" s="16"/>
      <c r="B17" s="54"/>
      <c r="D17" s="18"/>
      <c r="E17" s="190">
        <f>IF((E21-4*$C$10)&lt;0,0,(E21-4*$C$10))</f>
        <v>70</v>
      </c>
      <c r="F17" s="126">
        <f t="shared" si="0"/>
        <v>46.969999999999992</v>
      </c>
      <c r="G17" s="135">
        <f>('Data Entry'!$F$15*$F17)-(G$10/(('Data Entry'!$C$9/100)*2200))*($E17)</f>
        <v>79.38152173913042</v>
      </c>
      <c r="H17" s="135">
        <f>('Data Entry'!$F$15*$F17)-(H$10/(('Data Entry'!$C$9/100)*2200))*($E17)</f>
        <v>75.923023715414999</v>
      </c>
      <c r="I17" s="135">
        <f>('Data Entry'!$F$15*$F17)-(I$10/(('Data Entry'!$C$9/100)*2200))*($E17)</f>
        <v>72.464525691699592</v>
      </c>
      <c r="J17" s="135">
        <f>('Data Entry'!$F$15*$F17)-(J$10/(('Data Entry'!$C$9/100)*2200))*($E17)</f>
        <v>69.006027667984171</v>
      </c>
      <c r="K17" s="135">
        <f>('Data Entry'!$F$15*$F17)-(K$10/(('Data Entry'!$C$9/100)*2200))*($E17)</f>
        <v>65.547529644268764</v>
      </c>
      <c r="L17" s="135">
        <f>('Data Entry'!$F$15*$F17)-(L$10/(('Data Entry'!$C$9/100)*2200))*($E17)</f>
        <v>62.089031620553342</v>
      </c>
      <c r="M17" s="136">
        <f>('Data Entry'!$F$15*$F17)-(M$10/(('Data Entry'!$C$9/100)*2200))*($E17)</f>
        <v>58.630533596837928</v>
      </c>
    </row>
    <row r="18" spans="1:19" ht="15.75" thickBot="1" x14ac:dyDescent="0.3">
      <c r="A18" s="16"/>
      <c r="B18" s="17"/>
      <c r="C18" s="18"/>
      <c r="D18" s="18"/>
      <c r="E18" s="193">
        <f>IF((E22-4*$C$10)&lt;0,0,(E22-4*$C$10))</f>
        <v>80</v>
      </c>
      <c r="F18" s="126">
        <f t="shared" si="0"/>
        <v>50.719999999999992</v>
      </c>
      <c r="G18" s="135">
        <f>('Data Entry'!$F$15*$F18)-(G$10/(('Data Entry'!$C$9/100)*2200))*($E18)</f>
        <v>83.321739130434764</v>
      </c>
      <c r="H18" s="135">
        <f>('Data Entry'!$F$15*$F18)-(H$10/(('Data Entry'!$C$9/100)*2200))*($E18)</f>
        <v>79.369169960474295</v>
      </c>
      <c r="I18" s="135">
        <f>('Data Entry'!$F$15*$F18)-(I$10/(('Data Entry'!$C$9/100)*2200))*($E18)</f>
        <v>75.416600790513826</v>
      </c>
      <c r="J18" s="135">
        <f>('Data Entry'!$F$15*$F18)-(J$10/(('Data Entry'!$C$9/100)*2200))*($E18)</f>
        <v>71.464031620553342</v>
      </c>
      <c r="K18" s="135">
        <f>('Data Entry'!$F$15*$F18)-(K$10/(('Data Entry'!$C$9/100)*2200))*($E18)</f>
        <v>67.511462450592859</v>
      </c>
      <c r="L18" s="135">
        <f>('Data Entry'!$F$15*$F18)-(L$10/(('Data Entry'!$C$9/100)*2200))*($E18)</f>
        <v>63.558893280632397</v>
      </c>
      <c r="M18" s="136">
        <f>('Data Entry'!$F$15*$F18)-(M$10/(('Data Entry'!$C$9/100)*2200))*($E18)</f>
        <v>59.60632411067192</v>
      </c>
    </row>
    <row r="19" spans="1:19" ht="15.75" thickBot="1" x14ac:dyDescent="0.3">
      <c r="A19" s="16"/>
      <c r="B19" s="54"/>
      <c r="C19" s="48"/>
      <c r="D19" s="49" t="s">
        <v>13</v>
      </c>
      <c r="E19" s="50">
        <f>'Data Entry'!F10</f>
        <v>90</v>
      </c>
      <c r="F19" s="192">
        <f t="shared" si="0"/>
        <v>53.729999999999983</v>
      </c>
      <c r="G19" s="135">
        <f>('Data Entry'!$F$15*$F19)-(G$10/(('Data Entry'!$C$9/100)*2200))*($E19)</f>
        <v>85.411956521739086</v>
      </c>
      <c r="H19" s="135">
        <f>('Data Entry'!$F$15*$F19)-(H$10/(('Data Entry'!$C$9/100)*2200))*($E19)</f>
        <v>80.965316205533554</v>
      </c>
      <c r="I19" s="135">
        <f>('Data Entry'!$F$15*$F19)-(I$10/(('Data Entry'!$C$9/100)*2200))*($E19)</f>
        <v>76.518675889328023</v>
      </c>
      <c r="J19" s="135">
        <f>('Data Entry'!$F$15*$F19)-(J$10/(('Data Entry'!$C$9/100)*2200))*($E19)</f>
        <v>72.072035573122491</v>
      </c>
      <c r="K19" s="135">
        <f>('Data Entry'!$F$15*$F19)-(K$10/(('Data Entry'!$C$9/100)*2200))*($E19)</f>
        <v>67.625395256916946</v>
      </c>
      <c r="L19" s="135">
        <f>('Data Entry'!$F$15*$F19)-(L$10/(('Data Entry'!$C$9/100)*2200))*($E19)</f>
        <v>63.178754940711428</v>
      </c>
      <c r="M19" s="136">
        <f>('Data Entry'!$F$15*$F19)-(M$10/(('Data Entry'!$C$9/100)*2200))*($E19)</f>
        <v>58.732114624505883</v>
      </c>
    </row>
    <row r="20" spans="1:19" ht="15" x14ac:dyDescent="0.25">
      <c r="A20" s="16"/>
      <c r="B20" s="17"/>
      <c r="C20" s="18"/>
      <c r="D20" s="18"/>
      <c r="E20" s="194">
        <f>E19+C10</f>
        <v>100</v>
      </c>
      <c r="F20" s="126">
        <f t="shared" si="0"/>
        <v>55.999999999999993</v>
      </c>
      <c r="G20" s="135">
        <f>('Data Entry'!$F$15*$F20)-(G$10/(('Data Entry'!$C$9/100)*2200))*($E20)</f>
        <v>85.652173913043455</v>
      </c>
      <c r="H20" s="135">
        <f>('Data Entry'!$F$15*$F20)-(H$10/(('Data Entry'!$C$9/100)*2200))*($E20)</f>
        <v>80.711462450592848</v>
      </c>
      <c r="I20" s="135">
        <f>('Data Entry'!$F$15*$F20)-(I$10/(('Data Entry'!$C$9/100)*2200))*($E20)</f>
        <v>75.770750988142268</v>
      </c>
      <c r="J20" s="135">
        <f>('Data Entry'!$F$15*$F20)-(J$10/(('Data Entry'!$C$9/100)*2200))*($E20)</f>
        <v>70.830039525691674</v>
      </c>
      <c r="K20" s="135">
        <f>('Data Entry'!$F$15*$F20)-(K$10/(('Data Entry'!$C$9/100)*2200))*($E20)</f>
        <v>65.889328063241067</v>
      </c>
      <c r="L20" s="135">
        <f>('Data Entry'!$F$15*$F20)-(L$10/(('Data Entry'!$C$9/100)*2200))*($E20)</f>
        <v>60.948616600790487</v>
      </c>
      <c r="M20" s="136">
        <f>('Data Entry'!$F$15*$F20)-(M$10/(('Data Entry'!$C$9/100)*2200))*($E20)</f>
        <v>56.007905138339893</v>
      </c>
    </row>
    <row r="21" spans="1:19" ht="15" x14ac:dyDescent="0.25">
      <c r="A21" s="16"/>
      <c r="B21" s="17"/>
      <c r="C21" s="18"/>
      <c r="D21" s="18"/>
      <c r="E21" s="190">
        <f>E19+2*C10</f>
        <v>110</v>
      </c>
      <c r="F21" s="126">
        <f t="shared" si="0"/>
        <v>57.529999999999994</v>
      </c>
      <c r="G21" s="135">
        <f>('Data Entry'!$F$15*$F21)-(G$10/(('Data Entry'!$C$9/100)*2200))*($E21)</f>
        <v>84.042391304347817</v>
      </c>
      <c r="H21" s="135">
        <f>('Data Entry'!$F$15*$F21)-(H$10/(('Data Entry'!$C$9/100)*2200))*($E21)</f>
        <v>78.607608695652161</v>
      </c>
      <c r="I21" s="135">
        <f>('Data Entry'!$F$15*$F21)-(I$10/(('Data Entry'!$C$9/100)*2200))*($E21)</f>
        <v>73.172826086956519</v>
      </c>
      <c r="J21" s="135">
        <f>('Data Entry'!$F$15*$F21)-(J$10/(('Data Entry'!$C$9/100)*2200))*($E21)</f>
        <v>67.738043478260863</v>
      </c>
      <c r="K21" s="135">
        <f>('Data Entry'!$F$15*$F21)-(K$10/(('Data Entry'!$C$9/100)*2200))*($E21)</f>
        <v>62.303260869565207</v>
      </c>
      <c r="L21" s="135">
        <f>('Data Entry'!$F$15*$F21)-(L$10/(('Data Entry'!$C$9/100)*2200))*($E21)</f>
        <v>56.868478260869551</v>
      </c>
      <c r="M21" s="136">
        <f>('Data Entry'!$F$15*$F21)-(M$10/(('Data Entry'!$C$9/100)*2200))*($E21)</f>
        <v>51.433695652173895</v>
      </c>
    </row>
    <row r="22" spans="1:19" ht="15" x14ac:dyDescent="0.25">
      <c r="A22" s="16"/>
      <c r="B22" s="17"/>
      <c r="C22" s="18"/>
      <c r="D22" s="18"/>
      <c r="E22" s="190">
        <f>E19+3*C10</f>
        <v>120</v>
      </c>
      <c r="F22" s="126">
        <f t="shared" si="0"/>
        <v>58.319999999999986</v>
      </c>
      <c r="G22" s="135">
        <f>('Data Entry'!$F$15*$F22)-(G$10/(('Data Entry'!$C$9/100)*2200))*($E22)</f>
        <v>80.582608695652127</v>
      </c>
      <c r="H22" s="135">
        <f>('Data Entry'!$F$15*$F22)-(H$10/(('Data Entry'!$C$9/100)*2200))*($E22)</f>
        <v>74.653754940711408</v>
      </c>
      <c r="I22" s="135">
        <f>('Data Entry'!$F$15*$F22)-(I$10/(('Data Entry'!$C$9/100)*2200))*($E22)</f>
        <v>68.724901185770705</v>
      </c>
      <c r="J22" s="135">
        <f>('Data Entry'!$F$15*$F22)-(J$10/(('Data Entry'!$C$9/100)*2200))*($E22)</f>
        <v>62.796047430829987</v>
      </c>
      <c r="K22" s="135">
        <f>('Data Entry'!$F$15*$F22)-(K$10/(('Data Entry'!$C$9/100)*2200))*($E22)</f>
        <v>56.867193675889283</v>
      </c>
      <c r="L22" s="135">
        <f>('Data Entry'!$F$15*$F22)-(L$10/(('Data Entry'!$C$9/100)*2200))*($E22)</f>
        <v>50.938339920948579</v>
      </c>
      <c r="M22" s="136">
        <f>('Data Entry'!$F$15*$F22)-(M$10/(('Data Entry'!$C$9/100)*2200))*($E22)</f>
        <v>45.009486166007861</v>
      </c>
    </row>
    <row r="23" spans="1:19" ht="15" x14ac:dyDescent="0.25">
      <c r="A23" s="16"/>
      <c r="B23" s="17"/>
      <c r="C23" s="18"/>
      <c r="D23" s="18"/>
      <c r="E23" s="190">
        <f>E19+4*C10</f>
        <v>130</v>
      </c>
      <c r="F23" s="126">
        <f t="shared" si="0"/>
        <v>58.37</v>
      </c>
      <c r="G23" s="135">
        <f>('Data Entry'!$F$15*$F23)-(G$10/(('Data Entry'!$C$9/100)*2200))*($E23)</f>
        <v>75.272826086956513</v>
      </c>
      <c r="H23" s="135">
        <f>('Data Entry'!$F$15*$F23)-(H$10/(('Data Entry'!$C$9/100)*2200))*($E23)</f>
        <v>68.849901185770733</v>
      </c>
      <c r="I23" s="135">
        <f>('Data Entry'!$F$15*$F23)-(I$10/(('Data Entry'!$C$9/100)*2200))*($E23)</f>
        <v>62.426976284584967</v>
      </c>
      <c r="J23" s="135">
        <f>('Data Entry'!$F$15*$F23)-(J$10/(('Data Entry'!$C$9/100)*2200))*($E23)</f>
        <v>56.004051383399187</v>
      </c>
      <c r="K23" s="135">
        <f>('Data Entry'!$F$15*$F23)-(K$10/(('Data Entry'!$C$9/100)*2200))*($E23)</f>
        <v>49.581126482213421</v>
      </c>
      <c r="L23" s="135">
        <f>('Data Entry'!$F$15*$F23)-(L$10/(('Data Entry'!$C$9/100)*2200))*($E23)</f>
        <v>43.158201581027654</v>
      </c>
      <c r="M23" s="136">
        <f>('Data Entry'!$F$15*$F23)-(M$10/(('Data Entry'!$C$9/100)*2200))*($E23)</f>
        <v>36.735276679841874</v>
      </c>
    </row>
    <row r="24" spans="1:19" ht="13.5" customHeight="1" x14ac:dyDescent="0.2">
      <c r="A24" s="16"/>
      <c r="B24" s="17"/>
      <c r="C24" s="18"/>
      <c r="D24" s="18"/>
      <c r="E24" s="266" t="s">
        <v>53</v>
      </c>
      <c r="F24" s="267"/>
      <c r="G24" s="272"/>
      <c r="H24" s="272"/>
      <c r="I24" s="272"/>
      <c r="J24" s="272"/>
      <c r="K24" s="272"/>
      <c r="L24" s="272"/>
      <c r="M24" s="273"/>
    </row>
    <row r="25" spans="1:19" ht="9.75" customHeight="1" x14ac:dyDescent="0.2">
      <c r="A25" s="16"/>
      <c r="B25" s="17"/>
      <c r="C25" s="18"/>
      <c r="D25" s="18"/>
      <c r="E25" s="266" t="s">
        <v>16</v>
      </c>
      <c r="F25" s="267"/>
      <c r="G25" s="267"/>
      <c r="H25" s="267"/>
      <c r="I25" s="267"/>
      <c r="J25" s="267"/>
      <c r="K25" s="267"/>
      <c r="L25" s="267"/>
      <c r="M25" s="268"/>
    </row>
    <row r="26" spans="1:19" ht="9.75" customHeight="1" x14ac:dyDescent="0.2">
      <c r="A26" s="16"/>
      <c r="B26" s="17"/>
      <c r="C26" s="18"/>
      <c r="D26" s="18"/>
      <c r="E26" s="266" t="s">
        <v>24</v>
      </c>
      <c r="F26" s="267"/>
      <c r="G26" s="267"/>
      <c r="H26" s="267"/>
      <c r="I26" s="267"/>
      <c r="J26" s="267"/>
      <c r="K26" s="267"/>
      <c r="L26" s="267"/>
      <c r="M26" s="268"/>
    </row>
    <row r="27" spans="1:19" ht="11.25" customHeight="1" x14ac:dyDescent="0.2">
      <c r="A27" s="16"/>
      <c r="B27" s="17"/>
      <c r="C27" s="18"/>
      <c r="D27" s="18"/>
      <c r="E27" s="262" t="s">
        <v>87</v>
      </c>
      <c r="F27" s="287"/>
      <c r="G27" s="287"/>
      <c r="H27" s="287"/>
      <c r="I27" s="287"/>
      <c r="J27" s="287"/>
      <c r="K27" s="287"/>
      <c r="L27" s="287"/>
      <c r="M27" s="246"/>
      <c r="N27" s="130"/>
      <c r="O27"/>
      <c r="P27"/>
      <c r="Q27"/>
      <c r="R27"/>
      <c r="S27"/>
    </row>
    <row r="28" spans="1:19" ht="12" customHeight="1" thickBot="1" x14ac:dyDescent="0.25">
      <c r="A28" s="16"/>
      <c r="B28" s="17"/>
      <c r="C28" s="18"/>
      <c r="D28" s="18"/>
      <c r="E28" s="277" t="s">
        <v>38</v>
      </c>
      <c r="F28" s="279"/>
      <c r="G28" s="279"/>
      <c r="H28" s="279"/>
      <c r="I28" s="279"/>
      <c r="J28" s="280"/>
      <c r="K28" s="280"/>
      <c r="L28" s="280"/>
      <c r="M28" s="281"/>
    </row>
    <row r="29" spans="1:19" ht="11.25" customHeight="1" x14ac:dyDescent="0.2">
      <c r="A29" s="16"/>
      <c r="B29" s="17"/>
      <c r="C29" s="18"/>
      <c r="D29" s="18"/>
      <c r="E29" s="53"/>
      <c r="F29" s="53"/>
      <c r="G29" s="53"/>
      <c r="H29" s="53"/>
      <c r="I29" s="53"/>
      <c r="J29" s="12"/>
      <c r="K29" s="12"/>
      <c r="L29" s="12"/>
      <c r="M29" s="15"/>
    </row>
    <row r="30" spans="1:19" ht="11.25" customHeight="1" thickBot="1" x14ac:dyDescent="0.25">
      <c r="B30" s="252"/>
      <c r="C30" s="253"/>
      <c r="D30" s="253"/>
      <c r="E30" s="253"/>
      <c r="F30" s="253"/>
      <c r="G30" s="253"/>
      <c r="H30" s="253"/>
      <c r="I30" s="253"/>
      <c r="J30" s="55"/>
      <c r="K30" s="55"/>
      <c r="L30" s="55"/>
      <c r="M30" s="56"/>
    </row>
  </sheetData>
  <sheetProtection password="CE5A" sheet="1" objects="1" scenarios="1"/>
  <mergeCells count="15">
    <mergeCell ref="H8:L8"/>
    <mergeCell ref="G12:M12"/>
    <mergeCell ref="G13:M13"/>
    <mergeCell ref="B2:M2"/>
    <mergeCell ref="B3:M3"/>
    <mergeCell ref="B7:C7"/>
    <mergeCell ref="D5:F5"/>
    <mergeCell ref="G5:J5"/>
    <mergeCell ref="K5:M5"/>
    <mergeCell ref="E24:M24"/>
    <mergeCell ref="E27:M27"/>
    <mergeCell ref="E28:M28"/>
    <mergeCell ref="B30:I30"/>
    <mergeCell ref="E25:M25"/>
    <mergeCell ref="E26:M26"/>
  </mergeCells>
  <phoneticPr fontId="15" type="noConversion"/>
  <conditionalFormatting sqref="I15:I23">
    <cfRule type="cellIs" dxfId="104" priority="1" stopIfTrue="1" operator="between">
      <formula>MAX($I$15:$I$23)-0.5</formula>
      <formula>MAX($I$15:$I$23)+0.5</formula>
    </cfRule>
    <cfRule type="cellIs" dxfId="103" priority="2" stopIfTrue="1" operator="between">
      <formula>MAX($I$15:$I$23)-0.5</formula>
      <formula>MAX($I$15:$I$23)-1.5</formula>
    </cfRule>
    <cfRule type="cellIs" dxfId="102" priority="3" stopIfTrue="1" operator="between">
      <formula>MAX($I$15:$I$23)+0.5</formula>
      <formula>MAX($I$15:$I$23)+1.5</formula>
    </cfRule>
  </conditionalFormatting>
  <conditionalFormatting sqref="J15:J23">
    <cfRule type="cellIs" dxfId="101" priority="4" stopIfTrue="1" operator="between">
      <formula>MAX($J$15:$J$23)-0.5</formula>
      <formula>MAX($J$15:$J$23)+0.5</formula>
    </cfRule>
    <cfRule type="cellIs" dxfId="100" priority="5" stopIfTrue="1" operator="between">
      <formula>MAX($J$15:$J$23)-0.5</formula>
      <formula>MAX($J$15:$J$23)-1.5</formula>
    </cfRule>
    <cfRule type="cellIs" dxfId="99" priority="6" stopIfTrue="1" operator="between">
      <formula>MAX($J$15:$J$23)+0.5</formula>
      <formula>MAX($J$15:$J$23)+1.5</formula>
    </cfRule>
  </conditionalFormatting>
  <conditionalFormatting sqref="K15:K23">
    <cfRule type="cellIs" dxfId="98" priority="7" stopIfTrue="1" operator="between">
      <formula>MAX($K$15:$K$23)-0.5</formula>
      <formula>MAX($K$15:$K$23)+0.5</formula>
    </cfRule>
    <cfRule type="cellIs" dxfId="97" priority="8" stopIfTrue="1" operator="between">
      <formula>MAX($K$15:$K$23)-0.5</formula>
      <formula>MAX($K$15:$K$23)-1.5</formula>
    </cfRule>
    <cfRule type="cellIs" dxfId="96" priority="9" stopIfTrue="1" operator="between">
      <formula>MAX($K$15:$K$23)+0.5</formula>
      <formula>MAX($K$15:$K$23)+1.5</formula>
    </cfRule>
  </conditionalFormatting>
  <conditionalFormatting sqref="G15:G23">
    <cfRule type="cellIs" dxfId="95" priority="10" stopIfTrue="1" operator="between">
      <formula>MAX($G$15:$G$23)-0.5</formula>
      <formula>MAX($G$15:$G$23)+0.5</formula>
    </cfRule>
    <cfRule type="cellIs" dxfId="94" priority="11" stopIfTrue="1" operator="between">
      <formula>MAX($G$15:$G$23)-0.5</formula>
      <formula>MAX($G$15:$G$23)-1.5</formula>
    </cfRule>
    <cfRule type="cellIs" dxfId="93" priority="12" stopIfTrue="1" operator="between">
      <formula>MAX($G$15:$G$23)+0.5</formula>
      <formula>MAX($G$15:$G$23)+1.5</formula>
    </cfRule>
  </conditionalFormatting>
  <conditionalFormatting sqref="H15:H23">
    <cfRule type="cellIs" dxfId="92" priority="13" stopIfTrue="1" operator="between">
      <formula>MAX($H$15:$H$23)-0.5</formula>
      <formula>MAX($H$15:$H$23)+0.5</formula>
    </cfRule>
    <cfRule type="cellIs" dxfId="91" priority="14" stopIfTrue="1" operator="between">
      <formula>MAX($H$15:$H$23)-0.5</formula>
      <formula>MAX($H$15:$H$23)-1.5</formula>
    </cfRule>
    <cfRule type="cellIs" dxfId="90" priority="15" stopIfTrue="1" operator="between">
      <formula>MAX($H$15:$H$23)+0.5</formula>
      <formula>MAX($H$15:$HG$23)+1.5</formula>
    </cfRule>
  </conditionalFormatting>
  <conditionalFormatting sqref="L15:L23">
    <cfRule type="cellIs" dxfId="89" priority="16" stopIfTrue="1" operator="between">
      <formula>MAX($L$15:$L$23)-0.5</formula>
      <formula>MAX($L$15:$L$23)+0.5</formula>
    </cfRule>
    <cfRule type="cellIs" dxfId="88" priority="17" stopIfTrue="1" operator="between">
      <formula>MAX($L$15:$L$23)-0.5</formula>
      <formula>MAX($L$15:$L$23)-1.5</formula>
    </cfRule>
    <cfRule type="cellIs" dxfId="87" priority="18" stopIfTrue="1" operator="between">
      <formula>MAX($L$15:$L$23)+0.5</formula>
      <formula>MAX($L$15:$L$23)+1.5</formula>
    </cfRule>
  </conditionalFormatting>
  <conditionalFormatting sqref="M15:M23">
    <cfRule type="cellIs" dxfId="86" priority="19" stopIfTrue="1" operator="between">
      <formula>MAX($M$15:$M$23)-0.5</formula>
      <formula>MAX($M$15:$M$23)+0.5</formula>
    </cfRule>
    <cfRule type="cellIs" dxfId="85" priority="20" stopIfTrue="1" operator="between">
      <formula>MAX($M$15:$M$23)-0.5</formula>
      <formula>MAX($M$15:$M$23)-1.5</formula>
    </cfRule>
    <cfRule type="cellIs" dxfId="84" priority="21" stopIfTrue="1" operator="between">
      <formula>MAX($M$15:$M$23)+0.5</formula>
      <formula>MAX($M$15:$M$23)+1.5</formula>
    </cfRule>
  </conditionalFormatting>
  <hyperlinks>
    <hyperlink ref="D5" location="'Barley (Moist) Crop'!A1" display="Return to Barley (Moist) as variable"/>
    <hyperlink ref="G5" location="'Barley (Moist) MR'!A1" display="Go to Marginal Return Chart"/>
    <hyperlink ref="K5" location="'Data Entry'!A1" display="Return to Data Entry"/>
  </hyperlinks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showGridLines="0" workbookViewId="0">
      <selection activeCell="H21" sqref="H21"/>
    </sheetView>
  </sheetViews>
  <sheetFormatPr defaultRowHeight="12.75" x14ac:dyDescent="0.2"/>
  <cols>
    <col min="1" max="1" width="1.5703125" style="10" customWidth="1"/>
    <col min="2" max="2" width="17.28515625" style="10" customWidth="1"/>
    <col min="3" max="5" width="9.140625" style="10"/>
    <col min="6" max="6" width="13.5703125" style="10" customWidth="1"/>
    <col min="7" max="13" width="9.140625" style="10"/>
    <col min="14" max="14" width="16" style="10" customWidth="1"/>
    <col min="15" max="16384" width="9.140625" style="10"/>
  </cols>
  <sheetData>
    <row r="1" spans="1:14" ht="6" customHeight="1" thickBot="1" x14ac:dyDescent="0.25">
      <c r="B1" s="11"/>
      <c r="C1" s="11"/>
      <c r="D1" s="11"/>
      <c r="E1" s="11"/>
      <c r="F1" s="11"/>
      <c r="G1" s="11"/>
      <c r="H1" s="11"/>
      <c r="I1" s="11"/>
    </row>
    <row r="2" spans="1:14" ht="20.25" x14ac:dyDescent="0.3">
      <c r="A2" s="11"/>
      <c r="B2" s="234" t="s">
        <v>40</v>
      </c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6"/>
    </row>
    <row r="3" spans="1:14" ht="20.25" x14ac:dyDescent="0.3">
      <c r="A3" s="11"/>
      <c r="B3" s="237" t="s">
        <v>48</v>
      </c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9"/>
    </row>
    <row r="4" spans="1:14" ht="6.75" customHeight="1" x14ac:dyDescent="0.3">
      <c r="A4" s="11"/>
      <c r="B4" s="13"/>
      <c r="C4" s="14"/>
      <c r="D4" s="14"/>
      <c r="E4" s="14"/>
      <c r="F4" s="14"/>
      <c r="H4" s="14"/>
      <c r="I4" s="14"/>
      <c r="J4" s="12"/>
      <c r="K4" s="12"/>
      <c r="L4" s="12"/>
      <c r="M4" s="15"/>
      <c r="N4" s="158"/>
    </row>
    <row r="5" spans="1:14" x14ac:dyDescent="0.2">
      <c r="B5" s="198"/>
      <c r="C5" s="199"/>
      <c r="D5" s="282" t="s">
        <v>83</v>
      </c>
      <c r="E5" s="283"/>
      <c r="F5" s="283"/>
      <c r="G5" s="282" t="s">
        <v>69</v>
      </c>
      <c r="H5" s="283"/>
      <c r="I5" s="283"/>
      <c r="J5" s="283"/>
      <c r="K5" s="245" t="s">
        <v>96</v>
      </c>
      <c r="L5" s="244"/>
      <c r="M5" s="246"/>
    </row>
    <row r="6" spans="1:14" ht="4.5" customHeight="1" thickBot="1" x14ac:dyDescent="0.25">
      <c r="A6" s="16"/>
      <c r="B6" s="17"/>
      <c r="C6" s="18"/>
      <c r="D6" s="18"/>
      <c r="E6" s="18"/>
      <c r="F6" s="18"/>
      <c r="G6" s="18"/>
      <c r="H6" s="18"/>
      <c r="I6" s="18"/>
      <c r="J6" s="12"/>
      <c r="K6" s="12"/>
      <c r="L6" s="12"/>
      <c r="M6" s="15"/>
      <c r="N6" s="158"/>
    </row>
    <row r="7" spans="1:14" ht="15.75" customHeight="1" thickBot="1" x14ac:dyDescent="0.3">
      <c r="A7" s="16"/>
      <c r="B7" s="240" t="s">
        <v>61</v>
      </c>
      <c r="C7" s="241"/>
      <c r="D7" s="18"/>
      <c r="E7" s="18"/>
      <c r="F7" s="18"/>
      <c r="G7" s="18"/>
      <c r="H7" s="19"/>
      <c r="I7" s="18"/>
      <c r="J7" s="19"/>
      <c r="K7" s="12"/>
      <c r="L7" s="12"/>
      <c r="M7" s="15"/>
    </row>
    <row r="8" spans="1:14" ht="15" customHeight="1" x14ac:dyDescent="0.25">
      <c r="A8" s="16"/>
      <c r="B8" s="87" t="s">
        <v>58</v>
      </c>
      <c r="C8" s="21" t="s">
        <v>62</v>
      </c>
      <c r="D8" s="18"/>
      <c r="E8" s="22"/>
      <c r="F8" s="23"/>
      <c r="G8" s="23"/>
      <c r="H8" s="242" t="s">
        <v>63</v>
      </c>
      <c r="I8" s="243"/>
      <c r="J8" s="243"/>
      <c r="K8" s="243"/>
      <c r="L8" s="243"/>
      <c r="M8" s="24"/>
    </row>
    <row r="9" spans="1:14" ht="15" x14ac:dyDescent="0.2">
      <c r="A9" s="16"/>
      <c r="B9" s="20" t="s">
        <v>60</v>
      </c>
      <c r="C9" s="83">
        <f>'Data Entry'!F15</f>
        <v>2.5</v>
      </c>
      <c r="D9" s="18"/>
      <c r="E9" s="17"/>
      <c r="F9" s="18"/>
      <c r="G9" s="18"/>
      <c r="H9" s="19"/>
      <c r="I9" s="18"/>
      <c r="J9" s="19"/>
      <c r="K9" s="12"/>
      <c r="L9" s="12"/>
      <c r="M9" s="15"/>
    </row>
    <row r="10" spans="1:14" ht="15" x14ac:dyDescent="0.25">
      <c r="A10" s="16"/>
      <c r="B10" s="30" t="s">
        <v>20</v>
      </c>
      <c r="C10" s="106">
        <f>'Data Entry'!C11</f>
        <v>10</v>
      </c>
      <c r="D10" s="18"/>
      <c r="E10" s="17"/>
      <c r="F10" s="18"/>
      <c r="G10" s="108">
        <f>H10-$C$12</f>
        <v>550</v>
      </c>
      <c r="H10" s="108">
        <f>I10-$C$12</f>
        <v>600</v>
      </c>
      <c r="I10" s="108">
        <f>J10-$C$12</f>
        <v>650</v>
      </c>
      <c r="J10" s="109">
        <f>'Data Entry'!C8</f>
        <v>700</v>
      </c>
      <c r="K10" s="108">
        <f>J10+$C$12</f>
        <v>750</v>
      </c>
      <c r="L10" s="108">
        <f>K10+$C$12</f>
        <v>800</v>
      </c>
      <c r="M10" s="110">
        <f>L10+$C$12</f>
        <v>850</v>
      </c>
    </row>
    <row r="11" spans="1:14" ht="15" x14ac:dyDescent="0.25">
      <c r="A11" s="16"/>
      <c r="B11" s="33" t="s">
        <v>106</v>
      </c>
      <c r="C11" s="46"/>
      <c r="D11" s="18"/>
      <c r="E11" s="17"/>
      <c r="F11" s="29" t="s">
        <v>6</v>
      </c>
      <c r="G11" s="18"/>
      <c r="H11" s="18"/>
      <c r="I11" s="18"/>
      <c r="J11" s="12"/>
      <c r="K11" s="12"/>
      <c r="L11" s="12"/>
      <c r="M11" s="15"/>
    </row>
    <row r="12" spans="1:14" ht="15" x14ac:dyDescent="0.25">
      <c r="A12" s="16"/>
      <c r="B12" s="37" t="s">
        <v>56</v>
      </c>
      <c r="C12" s="61">
        <f>'Data Entry'!C17</f>
        <v>50</v>
      </c>
      <c r="D12" s="18"/>
      <c r="E12" s="32"/>
      <c r="F12" s="29" t="s">
        <v>7</v>
      </c>
      <c r="G12" s="269" t="s">
        <v>8</v>
      </c>
      <c r="H12" s="269"/>
      <c r="I12" s="269"/>
      <c r="J12" s="269"/>
      <c r="K12" s="269"/>
      <c r="L12" s="269"/>
      <c r="M12" s="270"/>
    </row>
    <row r="13" spans="1:14" ht="15.75" thickBot="1" x14ac:dyDescent="0.3">
      <c r="A13" s="16"/>
      <c r="B13" s="43" t="s">
        <v>28</v>
      </c>
      <c r="C13" s="46"/>
      <c r="D13" s="18"/>
      <c r="E13" s="35" t="s">
        <v>9</v>
      </c>
      <c r="F13" s="36" t="s">
        <v>10</v>
      </c>
      <c r="G13" s="247" t="s">
        <v>23</v>
      </c>
      <c r="H13" s="247"/>
      <c r="I13" s="247"/>
      <c r="J13" s="247"/>
      <c r="K13" s="247"/>
      <c r="L13" s="247"/>
      <c r="M13" s="248"/>
    </row>
    <row r="14" spans="1:14" ht="15" x14ac:dyDescent="0.25">
      <c r="A14" s="16"/>
      <c r="B14" s="113" t="s">
        <v>29</v>
      </c>
      <c r="C14" s="107">
        <f>'Data Entry'!C15</f>
        <v>30</v>
      </c>
      <c r="D14" s="18"/>
      <c r="E14" s="39" t="s">
        <v>11</v>
      </c>
      <c r="F14" s="40" t="s">
        <v>12</v>
      </c>
      <c r="G14" s="111">
        <f>'Data Entry'!$F$15/(G$10/(('Data Entry'!$C$9/100)*2200))</f>
        <v>4.6000000000000005</v>
      </c>
      <c r="H14" s="111">
        <f>'Data Entry'!$F$15/(H$10/(('Data Entry'!$C$9/100)*2200))</f>
        <v>4.2166666666666668</v>
      </c>
      <c r="I14" s="111">
        <f>'Data Entry'!$F$15/(I$10/(('Data Entry'!$C$9/100)*2200))</f>
        <v>3.8923076923076927</v>
      </c>
      <c r="J14" s="111">
        <f>'Data Entry'!$F$15/(J$10/(('Data Entry'!$C$9/100)*2200))</f>
        <v>3.6142857142857143</v>
      </c>
      <c r="K14" s="111">
        <f>'Data Entry'!$F$15/(K$10/(('Data Entry'!$C$9/100)*2200))</f>
        <v>3.3733333333333331</v>
      </c>
      <c r="L14" s="111">
        <f>'Data Entry'!$F$15/(L$10/(('Data Entry'!$C$9/100)*2200))</f>
        <v>3.1625000000000001</v>
      </c>
      <c r="M14" s="112">
        <f>'Data Entry'!$F$15/(M$10/(('Data Entry'!$C$9/100)*2200))</f>
        <v>2.9764705882352942</v>
      </c>
    </row>
    <row r="15" spans="1:14" ht="15" x14ac:dyDescent="0.25">
      <c r="A15" s="16"/>
      <c r="B15" s="43" t="s">
        <v>30</v>
      </c>
      <c r="C15" s="46"/>
      <c r="D15" s="18"/>
      <c r="E15" s="190">
        <f>IF((E19-4*$C$10)&lt;0,0,(E19-4*$C$10))</f>
        <v>10</v>
      </c>
      <c r="F15" s="126">
        <f t="shared" ref="F15:F23" si="0">IF(((-0.0082*(E15+$C$14)^2 + 1.5595*(E15+$C$14))-(-0.0082*($C$14)^2 + 1.5595*($C$14)))&lt;0,0,(-0.0082*(E15+$C$14)^2 +1.5595*(E15+$C$14))-(-0.0082*($C$14)^2 +1.5595*($C$14)))</f>
        <v>9.855000000000004</v>
      </c>
      <c r="G15" s="135">
        <f>('Data Entry'!$F$15*$F15)-(G$10/(('Data Entry'!$C$9/100)*2200))*($E15)</f>
        <v>19.202717391304358</v>
      </c>
      <c r="H15" s="135">
        <f>('Data Entry'!$F$15*$F15)-(H$10/(('Data Entry'!$C$9/100)*2200))*($E15)</f>
        <v>18.708646245059299</v>
      </c>
      <c r="I15" s="135">
        <f>('Data Entry'!$F$15*$F15)-(I$10/(('Data Entry'!$C$9/100)*2200))*($E15)</f>
        <v>18.21457509881424</v>
      </c>
      <c r="J15" s="135">
        <f>('Data Entry'!$F$15*$F15)-(J$10/(('Data Entry'!$C$9/100)*2200))*($E15)</f>
        <v>17.720503952569182</v>
      </c>
      <c r="K15" s="135">
        <f>('Data Entry'!$F$15*$F15)-(K$10/(('Data Entry'!$C$9/100)*2200))*($E15)</f>
        <v>17.226432806324119</v>
      </c>
      <c r="L15" s="135">
        <f>('Data Entry'!$F$15*$F15)-(L$10/(('Data Entry'!$C$9/100)*2200))*($E15)</f>
        <v>16.732361660079061</v>
      </c>
      <c r="M15" s="136">
        <f>('Data Entry'!$F$15*$F15)-(M$10/(('Data Entry'!$C$9/100)*2200))*($E15)</f>
        <v>16.238290513834002</v>
      </c>
    </row>
    <row r="16" spans="1:14" ht="15" x14ac:dyDescent="0.25">
      <c r="A16" s="16"/>
      <c r="B16" s="54"/>
      <c r="D16" s="18"/>
      <c r="E16" s="190">
        <f>IF((E20-4*$C$10)&lt;0,0,(E20-4*$C$10))</f>
        <v>20</v>
      </c>
      <c r="F16" s="126">
        <f t="shared" si="0"/>
        <v>18.070000000000007</v>
      </c>
      <c r="G16" s="135">
        <f>('Data Entry'!$F$15*$F16)-(G$10/(('Data Entry'!$C$9/100)*2200))*($E16)</f>
        <v>34.305434782608714</v>
      </c>
      <c r="H16" s="135">
        <f>('Data Entry'!$F$15*$F16)-(H$10/(('Data Entry'!$C$9/100)*2200))*($E16)</f>
        <v>33.317292490118597</v>
      </c>
      <c r="I16" s="135">
        <f>('Data Entry'!$F$15*$F16)-(I$10/(('Data Entry'!$C$9/100)*2200))*($E16)</f>
        <v>32.329150197628479</v>
      </c>
      <c r="J16" s="135">
        <f>('Data Entry'!$F$15*$F16)-(J$10/(('Data Entry'!$C$9/100)*2200))*($E16)</f>
        <v>31.341007905138358</v>
      </c>
      <c r="K16" s="135">
        <f>('Data Entry'!$F$15*$F16)-(K$10/(('Data Entry'!$C$9/100)*2200))*($E16)</f>
        <v>30.352865612648237</v>
      </c>
      <c r="L16" s="135">
        <f>('Data Entry'!$F$15*$F16)-(L$10/(('Data Entry'!$C$9/100)*2200))*($E16)</f>
        <v>29.36472332015812</v>
      </c>
      <c r="M16" s="136">
        <f>('Data Entry'!$F$15*$F16)-(M$10/(('Data Entry'!$C$9/100)*2200))*($E16)</f>
        <v>28.376581027668003</v>
      </c>
    </row>
    <row r="17" spans="1:19" ht="15" x14ac:dyDescent="0.25">
      <c r="A17" s="16"/>
      <c r="B17" s="54"/>
      <c r="D17" s="18"/>
      <c r="E17" s="190">
        <f>IF((E21-4*$C$10)&lt;0,0,(E21-4*$C$10))</f>
        <v>30</v>
      </c>
      <c r="F17" s="126">
        <f t="shared" si="0"/>
        <v>24.64500000000001</v>
      </c>
      <c r="G17" s="135">
        <f>('Data Entry'!$F$15*$F17)-(G$10/(('Data Entry'!$C$9/100)*2200))*($E17)</f>
        <v>45.308152173913072</v>
      </c>
      <c r="H17" s="135">
        <f>('Data Entry'!$F$15*$F17)-(H$10/(('Data Entry'!$C$9/100)*2200))*($E17)</f>
        <v>43.825938735177886</v>
      </c>
      <c r="I17" s="135">
        <f>('Data Entry'!$F$15*$F17)-(I$10/(('Data Entry'!$C$9/100)*2200))*($E17)</f>
        <v>42.343725296442713</v>
      </c>
      <c r="J17" s="135">
        <f>('Data Entry'!$F$15*$F17)-(J$10/(('Data Entry'!$C$9/100)*2200))*($E17)</f>
        <v>40.861511857707534</v>
      </c>
      <c r="K17" s="135">
        <f>('Data Entry'!$F$15*$F17)-(K$10/(('Data Entry'!$C$9/100)*2200))*($E17)</f>
        <v>39.379298418972354</v>
      </c>
      <c r="L17" s="135">
        <f>('Data Entry'!$F$15*$F17)-(L$10/(('Data Entry'!$C$9/100)*2200))*($E17)</f>
        <v>37.897084980237182</v>
      </c>
      <c r="M17" s="136">
        <f>('Data Entry'!$F$15*$F17)-(M$10/(('Data Entry'!$C$9/100)*2200))*($E17)</f>
        <v>36.414871541502002</v>
      </c>
    </row>
    <row r="18" spans="1:19" ht="15.75" thickBot="1" x14ac:dyDescent="0.3">
      <c r="A18" s="16"/>
      <c r="B18" s="17"/>
      <c r="C18" s="18"/>
      <c r="D18" s="18"/>
      <c r="E18" s="193">
        <f>IF((E22-4*$C$10)&lt;0,0,(E22-4*$C$10))</f>
        <v>40</v>
      </c>
      <c r="F18" s="126">
        <f t="shared" si="0"/>
        <v>29.58</v>
      </c>
      <c r="G18" s="135">
        <f>('Data Entry'!$F$15*$F18)-(G$10/(('Data Entry'!$C$9/100)*2200))*($E18)</f>
        <v>52.210869565217379</v>
      </c>
      <c r="H18" s="135">
        <f>('Data Entry'!$F$15*$F18)-(H$10/(('Data Entry'!$C$9/100)*2200))*($E18)</f>
        <v>50.234584980237145</v>
      </c>
      <c r="I18" s="135">
        <f>('Data Entry'!$F$15*$F18)-(I$10/(('Data Entry'!$C$9/100)*2200))*($E18)</f>
        <v>48.25830039525691</v>
      </c>
      <c r="J18" s="135">
        <f>('Data Entry'!$F$15*$F18)-(J$10/(('Data Entry'!$C$9/100)*2200))*($E18)</f>
        <v>46.282015810276668</v>
      </c>
      <c r="K18" s="135">
        <f>('Data Entry'!$F$15*$F18)-(K$10/(('Data Entry'!$C$9/100)*2200))*($E18)</f>
        <v>44.305731225296427</v>
      </c>
      <c r="L18" s="135">
        <f>('Data Entry'!$F$15*$F18)-(L$10/(('Data Entry'!$C$9/100)*2200))*($E18)</f>
        <v>42.329446640316192</v>
      </c>
      <c r="M18" s="136">
        <f>('Data Entry'!$F$15*$F18)-(M$10/(('Data Entry'!$C$9/100)*2200))*($E18)</f>
        <v>40.353162055335957</v>
      </c>
    </row>
    <row r="19" spans="1:19" ht="15.75" thickBot="1" x14ac:dyDescent="0.3">
      <c r="A19" s="16"/>
      <c r="B19" s="54"/>
      <c r="C19" s="48"/>
      <c r="D19" s="49" t="s">
        <v>13</v>
      </c>
      <c r="E19" s="50">
        <f>'Data Entry'!G10</f>
        <v>50</v>
      </c>
      <c r="F19" s="192">
        <f t="shared" si="0"/>
        <v>32.875</v>
      </c>
      <c r="G19" s="135">
        <f>('Data Entry'!$F$15*$F19)-(G$10/(('Data Entry'!$C$9/100)*2200))*($E19)</f>
        <v>55.013586956521742</v>
      </c>
      <c r="H19" s="135">
        <f>('Data Entry'!$F$15*$F19)-(H$10/(('Data Entry'!$C$9/100)*2200))*($E19)</f>
        <v>52.543231225296438</v>
      </c>
      <c r="I19" s="135">
        <f>('Data Entry'!$F$15*$F19)-(I$10/(('Data Entry'!$C$9/100)*2200))*($E19)</f>
        <v>50.072875494071148</v>
      </c>
      <c r="J19" s="135">
        <f>('Data Entry'!$F$15*$F19)-(J$10/(('Data Entry'!$C$9/100)*2200))*($E19)</f>
        <v>47.602519762845851</v>
      </c>
      <c r="K19" s="135">
        <f>('Data Entry'!$F$15*$F19)-(K$10/(('Data Entry'!$C$9/100)*2200))*($E19)</f>
        <v>45.132164031620547</v>
      </c>
      <c r="L19" s="135">
        <f>('Data Entry'!$F$15*$F19)-(L$10/(('Data Entry'!$C$9/100)*2200))*($E19)</f>
        <v>42.661808300395258</v>
      </c>
      <c r="M19" s="136">
        <f>('Data Entry'!$F$15*$F19)-(M$10/(('Data Entry'!$C$9/100)*2200))*($E19)</f>
        <v>40.191452569169961</v>
      </c>
    </row>
    <row r="20" spans="1:19" ht="15" x14ac:dyDescent="0.25">
      <c r="A20" s="16"/>
      <c r="B20" s="17"/>
      <c r="C20" s="18"/>
      <c r="D20" s="18"/>
      <c r="E20" s="194">
        <f>E19+C10</f>
        <v>60</v>
      </c>
      <c r="F20" s="126">
        <f t="shared" si="0"/>
        <v>34.530000000000015</v>
      </c>
      <c r="G20" s="135">
        <f>('Data Entry'!$F$15*$F20)-(G$10/(('Data Entry'!$C$9/100)*2200))*($E20)</f>
        <v>53.716304347826132</v>
      </c>
      <c r="H20" s="135">
        <f>('Data Entry'!$F$15*$F20)-(H$10/(('Data Entry'!$C$9/100)*2200))*($E20)</f>
        <v>50.751877470355772</v>
      </c>
      <c r="I20" s="135">
        <f>('Data Entry'!$F$15*$F20)-(I$10/(('Data Entry'!$C$9/100)*2200))*($E20)</f>
        <v>47.787450592885421</v>
      </c>
      <c r="J20" s="135">
        <f>('Data Entry'!$F$15*$F20)-(J$10/(('Data Entry'!$C$9/100)*2200))*($E20)</f>
        <v>44.823023715415061</v>
      </c>
      <c r="K20" s="135">
        <f>('Data Entry'!$F$15*$F20)-(K$10/(('Data Entry'!$C$9/100)*2200))*($E20)</f>
        <v>41.85859683794471</v>
      </c>
      <c r="L20" s="135">
        <f>('Data Entry'!$F$15*$F20)-(L$10/(('Data Entry'!$C$9/100)*2200))*($E20)</f>
        <v>38.894169960474358</v>
      </c>
      <c r="M20" s="136">
        <f>('Data Entry'!$F$15*$F20)-(M$10/(('Data Entry'!$C$9/100)*2200))*($E20)</f>
        <v>35.929743083003999</v>
      </c>
    </row>
    <row r="21" spans="1:19" ht="15" x14ac:dyDescent="0.25">
      <c r="A21" s="16"/>
      <c r="B21" s="17"/>
      <c r="C21" s="18"/>
      <c r="D21" s="18"/>
      <c r="E21" s="190">
        <f>E19+2*C10</f>
        <v>70</v>
      </c>
      <c r="F21" s="126">
        <f t="shared" si="0"/>
        <v>34.545000000000016</v>
      </c>
      <c r="G21" s="135">
        <f>('Data Entry'!$F$15*$F21)-(G$10/(('Data Entry'!$C$9/100)*2200))*($E21)</f>
        <v>48.319021739130477</v>
      </c>
      <c r="H21" s="135">
        <f>('Data Entry'!$F$15*$F21)-(H$10/(('Data Entry'!$C$9/100)*2200))*($E21)</f>
        <v>44.860523715415056</v>
      </c>
      <c r="I21" s="135">
        <f>('Data Entry'!$F$15*$F21)-(I$10/(('Data Entry'!$C$9/100)*2200))*($E21)</f>
        <v>41.402025691699649</v>
      </c>
      <c r="J21" s="135">
        <f>('Data Entry'!$F$15*$F21)-(J$10/(('Data Entry'!$C$9/100)*2200))*($E21)</f>
        <v>37.943527667984227</v>
      </c>
      <c r="K21" s="135">
        <f>('Data Entry'!$F$15*$F21)-(K$10/(('Data Entry'!$C$9/100)*2200))*($E21)</f>
        <v>34.485029644268813</v>
      </c>
      <c r="L21" s="135">
        <f>('Data Entry'!$F$15*$F21)-(L$10/(('Data Entry'!$C$9/100)*2200))*($E21)</f>
        <v>31.026531620553399</v>
      </c>
      <c r="M21" s="136">
        <f>('Data Entry'!$F$15*$F21)-(M$10/(('Data Entry'!$C$9/100)*2200))*($E21)</f>
        <v>27.568033596837985</v>
      </c>
    </row>
    <row r="22" spans="1:19" ht="15" x14ac:dyDescent="0.25">
      <c r="A22" s="16"/>
      <c r="B22" s="17"/>
      <c r="C22" s="18"/>
      <c r="D22" s="18"/>
      <c r="E22" s="190">
        <f>E19+3*C10</f>
        <v>80</v>
      </c>
      <c r="F22" s="126">
        <f t="shared" si="0"/>
        <v>32.92</v>
      </c>
      <c r="G22" s="135">
        <f>('Data Entry'!$F$15*$F22)-(G$10/(('Data Entry'!$C$9/100)*2200))*($E22)</f>
        <v>38.821739130434793</v>
      </c>
      <c r="H22" s="135">
        <f>('Data Entry'!$F$15*$F22)-(H$10/(('Data Entry'!$C$9/100)*2200))*($E22)</f>
        <v>34.869169960474316</v>
      </c>
      <c r="I22" s="135">
        <f>('Data Entry'!$F$15*$F22)-(I$10/(('Data Entry'!$C$9/100)*2200))*($E22)</f>
        <v>30.916600790513847</v>
      </c>
      <c r="J22" s="135">
        <f>('Data Entry'!$F$15*$F22)-(J$10/(('Data Entry'!$C$9/100)*2200))*($E22)</f>
        <v>26.964031620553371</v>
      </c>
      <c r="K22" s="135">
        <f>('Data Entry'!$F$15*$F22)-(K$10/(('Data Entry'!$C$9/100)*2200))*($E22)</f>
        <v>23.011462450592894</v>
      </c>
      <c r="L22" s="135">
        <f>('Data Entry'!$F$15*$F22)-(L$10/(('Data Entry'!$C$9/100)*2200))*($E22)</f>
        <v>19.058893280632425</v>
      </c>
      <c r="M22" s="136">
        <f>('Data Entry'!$F$15*$F22)-(M$10/(('Data Entry'!$C$9/100)*2200))*($E22)</f>
        <v>15.106324110671949</v>
      </c>
    </row>
    <row r="23" spans="1:19" ht="15" x14ac:dyDescent="0.25">
      <c r="A23" s="16"/>
      <c r="B23" s="17"/>
      <c r="C23" s="18"/>
      <c r="D23" s="18"/>
      <c r="E23" s="190">
        <f>E19+4*C10</f>
        <v>90</v>
      </c>
      <c r="F23" s="126">
        <f t="shared" si="0"/>
        <v>29.655000000000001</v>
      </c>
      <c r="G23" s="135">
        <f>('Data Entry'!$F$15*$F23)-(G$10/(('Data Entry'!$C$9/100)*2200))*($E23)</f>
        <v>25.224456521739135</v>
      </c>
      <c r="H23" s="135">
        <f>('Data Entry'!$F$15*$F23)-(H$10/(('Data Entry'!$C$9/100)*2200))*($E23)</f>
        <v>20.777816205533597</v>
      </c>
      <c r="I23" s="135">
        <f>('Data Entry'!$F$15*$F23)-(I$10/(('Data Entry'!$C$9/100)*2200))*($E23)</f>
        <v>16.331175889328073</v>
      </c>
      <c r="J23" s="135">
        <f>('Data Entry'!$F$15*$F23)-(J$10/(('Data Entry'!$C$9/100)*2200))*($E23)</f>
        <v>11.884535573122534</v>
      </c>
      <c r="K23" s="135">
        <f>('Data Entry'!$F$15*$F23)-(K$10/(('Data Entry'!$C$9/100)*2200))*($E23)</f>
        <v>7.4378952569169883</v>
      </c>
      <c r="L23" s="135">
        <f>('Data Entry'!$F$15*$F23)-(L$10/(('Data Entry'!$C$9/100)*2200))*($E23)</f>
        <v>2.991254940711471</v>
      </c>
      <c r="M23" s="136">
        <f>('Data Entry'!$F$15*$F23)-(M$10/(('Data Entry'!$C$9/100)*2200))*($E23)</f>
        <v>-1.4553853754940747</v>
      </c>
    </row>
    <row r="24" spans="1:19" ht="13.5" customHeight="1" x14ac:dyDescent="0.2">
      <c r="A24" s="16"/>
      <c r="B24" s="17"/>
      <c r="C24" s="18"/>
      <c r="D24" s="18"/>
      <c r="E24" s="266" t="s">
        <v>54</v>
      </c>
      <c r="F24" s="267"/>
      <c r="G24" s="272"/>
      <c r="H24" s="272"/>
      <c r="I24" s="272"/>
      <c r="J24" s="272"/>
      <c r="K24" s="272"/>
      <c r="L24" s="272"/>
      <c r="M24" s="273"/>
    </row>
    <row r="25" spans="1:19" ht="9.75" customHeight="1" x14ac:dyDescent="0.2">
      <c r="A25" s="16"/>
      <c r="B25" s="17"/>
      <c r="C25" s="18"/>
      <c r="D25" s="18"/>
      <c r="E25" s="266" t="s">
        <v>16</v>
      </c>
      <c r="F25" s="267"/>
      <c r="G25" s="267"/>
      <c r="H25" s="267"/>
      <c r="I25" s="267"/>
      <c r="J25" s="267"/>
      <c r="K25" s="267"/>
      <c r="L25" s="267"/>
      <c r="M25" s="268"/>
    </row>
    <row r="26" spans="1:19" ht="9.75" customHeight="1" x14ac:dyDescent="0.2">
      <c r="A26" s="16"/>
      <c r="B26" s="17"/>
      <c r="C26" s="18"/>
      <c r="D26" s="18"/>
      <c r="E26" s="266" t="s">
        <v>24</v>
      </c>
      <c r="F26" s="267"/>
      <c r="G26" s="267"/>
      <c r="H26" s="267"/>
      <c r="I26" s="267"/>
      <c r="J26" s="267"/>
      <c r="K26" s="267"/>
      <c r="L26" s="267"/>
      <c r="M26" s="268"/>
    </row>
    <row r="27" spans="1:19" ht="11.25" customHeight="1" x14ac:dyDescent="0.2">
      <c r="A27" s="16"/>
      <c r="B27" s="17"/>
      <c r="C27" s="18"/>
      <c r="D27" s="18"/>
      <c r="E27" s="262" t="s">
        <v>87</v>
      </c>
      <c r="F27" s="287"/>
      <c r="G27" s="287"/>
      <c r="H27" s="287"/>
      <c r="I27" s="287"/>
      <c r="J27" s="287"/>
      <c r="K27" s="287"/>
      <c r="L27" s="287"/>
      <c r="M27" s="246"/>
      <c r="N27" s="130"/>
      <c r="O27"/>
      <c r="P27"/>
      <c r="Q27"/>
      <c r="R27"/>
      <c r="S27"/>
    </row>
    <row r="28" spans="1:19" ht="12" customHeight="1" thickBot="1" x14ac:dyDescent="0.25">
      <c r="A28" s="16"/>
      <c r="B28" s="17"/>
      <c r="C28" s="18"/>
      <c r="D28" s="18"/>
      <c r="E28" s="277" t="s">
        <v>38</v>
      </c>
      <c r="F28" s="279"/>
      <c r="G28" s="279"/>
      <c r="H28" s="279"/>
      <c r="I28" s="279"/>
      <c r="J28" s="280"/>
      <c r="K28" s="280"/>
      <c r="L28" s="280"/>
      <c r="M28" s="281"/>
    </row>
    <row r="29" spans="1:19" ht="11.25" customHeight="1" x14ac:dyDescent="0.2">
      <c r="A29" s="16"/>
      <c r="B29" s="17"/>
      <c r="C29" s="18"/>
      <c r="D29" s="18"/>
      <c r="E29" s="53"/>
      <c r="F29" s="53"/>
      <c r="G29" s="53"/>
      <c r="H29" s="53"/>
      <c r="I29" s="53"/>
      <c r="J29" s="12"/>
      <c r="K29" s="12"/>
      <c r="L29" s="12"/>
      <c r="M29" s="15"/>
    </row>
    <row r="30" spans="1:19" ht="11.25" customHeight="1" thickBot="1" x14ac:dyDescent="0.25">
      <c r="B30" s="252"/>
      <c r="C30" s="253"/>
      <c r="D30" s="253"/>
      <c r="E30" s="253"/>
      <c r="F30" s="253"/>
      <c r="G30" s="253"/>
      <c r="H30" s="253"/>
      <c r="I30" s="253"/>
      <c r="J30" s="55"/>
      <c r="K30" s="55"/>
      <c r="L30" s="55"/>
      <c r="M30" s="56"/>
    </row>
  </sheetData>
  <sheetProtection password="CE5A" sheet="1" objects="1" scenarios="1"/>
  <mergeCells count="15">
    <mergeCell ref="E24:M24"/>
    <mergeCell ref="E27:M27"/>
    <mergeCell ref="E28:M28"/>
    <mergeCell ref="B30:I30"/>
    <mergeCell ref="E25:M25"/>
    <mergeCell ref="E26:M26"/>
    <mergeCell ref="H8:L8"/>
    <mergeCell ref="G12:M12"/>
    <mergeCell ref="G13:M13"/>
    <mergeCell ref="B2:M2"/>
    <mergeCell ref="B3:M3"/>
    <mergeCell ref="B7:C7"/>
    <mergeCell ref="K5:M5"/>
    <mergeCell ref="G5:J5"/>
    <mergeCell ref="D5:F5"/>
  </mergeCells>
  <phoneticPr fontId="15" type="noConversion"/>
  <conditionalFormatting sqref="I15:I23">
    <cfRule type="cellIs" dxfId="83" priority="1" stopIfTrue="1" operator="between">
      <formula>MAX($I$15:$I$23)-0.5</formula>
      <formula>MAX($I$15:$I$23)+0.5</formula>
    </cfRule>
    <cfRule type="cellIs" dxfId="82" priority="2" stopIfTrue="1" operator="between">
      <formula>MAX($I$15:$I$23)-0.5</formula>
      <formula>MAX($I$15:$I$23)-1.5</formula>
    </cfRule>
    <cfRule type="cellIs" dxfId="81" priority="3" stopIfTrue="1" operator="between">
      <formula>MAX($I$15:$I$23)+0.5</formula>
      <formula>MAX($I$15:$I$23)+1.5</formula>
    </cfRule>
  </conditionalFormatting>
  <conditionalFormatting sqref="J15:J23">
    <cfRule type="cellIs" dxfId="80" priority="4" stopIfTrue="1" operator="between">
      <formula>MAX($J$15:$J$23)-0.5</formula>
      <formula>MAX($J$15:$J$23)+0.5</formula>
    </cfRule>
    <cfRule type="cellIs" dxfId="79" priority="5" stopIfTrue="1" operator="between">
      <formula>MAX($J$15:$J$23)-0.5</formula>
      <formula>MAX($J$15:$J$23)-1.5</formula>
    </cfRule>
    <cfRule type="cellIs" dxfId="78" priority="6" stopIfTrue="1" operator="between">
      <formula>MAX($J$15:$J$23)+0.5</formula>
      <formula>MAX($J$15:$J$23)+1.5</formula>
    </cfRule>
  </conditionalFormatting>
  <conditionalFormatting sqref="K15:K23">
    <cfRule type="cellIs" dxfId="77" priority="7" stopIfTrue="1" operator="between">
      <formula>MAX($K$15:$K$23)-0.5</formula>
      <formula>MAX($K$15:$K$23)+0.5</formula>
    </cfRule>
    <cfRule type="cellIs" dxfId="76" priority="8" stopIfTrue="1" operator="between">
      <formula>MAX($K$15:$K$23)-0.5</formula>
      <formula>MAX($K$15:$K$23)-1.5</formula>
    </cfRule>
    <cfRule type="cellIs" dxfId="75" priority="9" stopIfTrue="1" operator="between">
      <formula>MAX($K$15:$K$23)+0.5</formula>
      <formula>MAX($K$15:$K$23)+1.5</formula>
    </cfRule>
  </conditionalFormatting>
  <conditionalFormatting sqref="G15:G23">
    <cfRule type="cellIs" dxfId="74" priority="10" stopIfTrue="1" operator="between">
      <formula>MAX($G$15:$G$23)-0.5</formula>
      <formula>MAX($G$15:$G$23)+0.5</formula>
    </cfRule>
    <cfRule type="cellIs" dxfId="73" priority="11" stopIfTrue="1" operator="between">
      <formula>MAX($G$15:$G$23)-0.5</formula>
      <formula>MAX($G$15:$G$23)-1.5</formula>
    </cfRule>
    <cfRule type="cellIs" dxfId="72" priority="12" stopIfTrue="1" operator="between">
      <formula>MAX($G$15:$G$23)+0.5</formula>
      <formula>MAX($G$15:$G$23)+1.5</formula>
    </cfRule>
  </conditionalFormatting>
  <conditionalFormatting sqref="H15:H23">
    <cfRule type="cellIs" dxfId="71" priority="13" stopIfTrue="1" operator="between">
      <formula>MAX($H$15:$H$23)-0.5</formula>
      <formula>MAX($H$15:$H$23)+0.5</formula>
    </cfRule>
    <cfRule type="cellIs" dxfId="70" priority="14" stopIfTrue="1" operator="between">
      <formula>MAX($H$15:$H$23)-0.5</formula>
      <formula>MAX($H$15:$H$23)-1.5</formula>
    </cfRule>
    <cfRule type="cellIs" dxfId="69" priority="15" stopIfTrue="1" operator="between">
      <formula>MAX($H$15:$H$23)+0.5</formula>
      <formula>MAX($H$15:$HG$23)+1.5</formula>
    </cfRule>
  </conditionalFormatting>
  <conditionalFormatting sqref="L15:L23">
    <cfRule type="cellIs" dxfId="68" priority="16" stopIfTrue="1" operator="between">
      <formula>MAX($L$15:$L$23)-0.5</formula>
      <formula>MAX($L$15:$L$23)+0.5</formula>
    </cfRule>
    <cfRule type="cellIs" dxfId="67" priority="17" stopIfTrue="1" operator="between">
      <formula>MAX($L$15:$L$23)-0.5</formula>
      <formula>MAX($L$15:$L$23)-1.5</formula>
    </cfRule>
    <cfRule type="cellIs" dxfId="66" priority="18" stopIfTrue="1" operator="between">
      <formula>MAX($L$15:$L$23)+0.5</formula>
      <formula>MAX($L$15:$L$23)+1.5</formula>
    </cfRule>
  </conditionalFormatting>
  <conditionalFormatting sqref="M15:M23">
    <cfRule type="cellIs" dxfId="65" priority="19" stopIfTrue="1" operator="between">
      <formula>MAX($M$15:$M$23)-0.5</formula>
      <formula>MAX($M$15:$M$23)+0.5</formula>
    </cfRule>
    <cfRule type="cellIs" dxfId="64" priority="20" stopIfTrue="1" operator="between">
      <formula>MAX($M$15:$M$23)-0.5</formula>
      <formula>MAX($M$15:$M$23)-1.5</formula>
    </cfRule>
    <cfRule type="cellIs" dxfId="63" priority="21" stopIfTrue="1" operator="between">
      <formula>MAX($M$15:$M$23)+0.5</formula>
      <formula>MAX($M$15:$M$23)+1.5</formula>
    </cfRule>
  </conditionalFormatting>
  <hyperlinks>
    <hyperlink ref="D5" location="'Barley (Dry) Crop'!A1" display="Return to Barley (Dry) as variable"/>
    <hyperlink ref="G5" location="'Barley (Dry) MR'!A1" display="Go to Marginal Return Chart"/>
    <hyperlink ref="K5" location="'Data Entry'!A1" display="Return to Data Entry"/>
  </hyperlinks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showGridLines="0" workbookViewId="0">
      <selection activeCell="G15" sqref="G15"/>
    </sheetView>
  </sheetViews>
  <sheetFormatPr defaultRowHeight="12.75" x14ac:dyDescent="0.2"/>
  <cols>
    <col min="1" max="1" width="1.5703125" style="10" customWidth="1"/>
    <col min="2" max="2" width="17.28515625" style="10" customWidth="1"/>
    <col min="3" max="5" width="9.140625" style="10"/>
    <col min="6" max="6" width="13.5703125" style="10" customWidth="1"/>
    <col min="7" max="13" width="9.140625" style="10"/>
    <col min="14" max="14" width="28" style="10" customWidth="1"/>
    <col min="15" max="16384" width="9.140625" style="10"/>
  </cols>
  <sheetData>
    <row r="1" spans="1:14" ht="6" customHeight="1" thickBot="1" x14ac:dyDescent="0.25">
      <c r="A1" s="154"/>
      <c r="B1" s="11"/>
      <c r="C1" s="11"/>
      <c r="D1" s="11"/>
      <c r="E1" s="11"/>
      <c r="F1" s="11"/>
      <c r="G1" s="11"/>
      <c r="H1" s="11"/>
      <c r="I1" s="11"/>
    </row>
    <row r="2" spans="1:14" ht="20.25" x14ac:dyDescent="0.3">
      <c r="A2" s="11"/>
      <c r="B2" s="234" t="s">
        <v>40</v>
      </c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6"/>
    </row>
    <row r="3" spans="1:14" ht="20.25" x14ac:dyDescent="0.3">
      <c r="A3" s="11"/>
      <c r="B3" s="237" t="s">
        <v>49</v>
      </c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9"/>
    </row>
    <row r="4" spans="1:14" ht="6.75" customHeight="1" x14ac:dyDescent="0.3">
      <c r="A4" s="11"/>
      <c r="B4" s="13"/>
      <c r="C4" s="14"/>
      <c r="D4" s="14"/>
      <c r="E4" s="14"/>
      <c r="F4" s="14"/>
      <c r="G4" s="14"/>
      <c r="H4" s="14"/>
      <c r="I4" s="14"/>
      <c r="J4" s="12"/>
      <c r="K4" s="12"/>
      <c r="L4" s="12"/>
      <c r="M4" s="15"/>
      <c r="N4" s="158"/>
    </row>
    <row r="5" spans="1:14" x14ac:dyDescent="0.2">
      <c r="B5" s="198"/>
      <c r="C5" s="199"/>
      <c r="D5" s="282" t="s">
        <v>80</v>
      </c>
      <c r="E5" s="283"/>
      <c r="F5" s="283"/>
      <c r="G5" s="282" t="s">
        <v>69</v>
      </c>
      <c r="H5" s="283"/>
      <c r="I5" s="283"/>
      <c r="J5" s="283"/>
      <c r="K5" s="245" t="s">
        <v>96</v>
      </c>
      <c r="L5" s="244"/>
      <c r="M5" s="246"/>
    </row>
    <row r="6" spans="1:14" ht="4.5" customHeight="1" thickBot="1" x14ac:dyDescent="0.25">
      <c r="A6" s="16"/>
      <c r="B6" s="17"/>
      <c r="C6" s="18"/>
      <c r="D6" s="18"/>
      <c r="E6" s="18"/>
      <c r="F6" s="18"/>
      <c r="G6" s="18"/>
      <c r="H6" s="18"/>
      <c r="I6" s="18"/>
      <c r="J6" s="12"/>
      <c r="K6" s="12"/>
      <c r="L6" s="12"/>
      <c r="M6" s="15"/>
      <c r="N6" s="158"/>
    </row>
    <row r="7" spans="1:14" ht="15.75" customHeight="1" thickBot="1" x14ac:dyDescent="0.3">
      <c r="A7" s="16"/>
      <c r="B7" s="240" t="s">
        <v>61</v>
      </c>
      <c r="C7" s="241"/>
      <c r="D7" s="18"/>
      <c r="E7" s="18"/>
      <c r="F7" s="18"/>
      <c r="G7" s="18"/>
      <c r="H7" s="19"/>
      <c r="I7" s="18"/>
      <c r="J7" s="19"/>
      <c r="K7" s="12"/>
      <c r="L7" s="12"/>
      <c r="M7" s="15"/>
    </row>
    <row r="8" spans="1:14" ht="15" customHeight="1" x14ac:dyDescent="0.25">
      <c r="A8" s="16"/>
      <c r="B8" s="87" t="s">
        <v>58</v>
      </c>
      <c r="C8" s="21" t="s">
        <v>62</v>
      </c>
      <c r="D8" s="18"/>
      <c r="E8" s="22"/>
      <c r="F8" s="23"/>
      <c r="G8" s="23"/>
      <c r="H8" s="242" t="s">
        <v>63</v>
      </c>
      <c r="I8" s="243"/>
      <c r="J8" s="243"/>
      <c r="K8" s="243"/>
      <c r="L8" s="243"/>
      <c r="M8" s="24"/>
    </row>
    <row r="9" spans="1:14" ht="15" x14ac:dyDescent="0.2">
      <c r="A9" s="16"/>
      <c r="B9" s="20" t="s">
        <v>60</v>
      </c>
      <c r="C9" s="83">
        <f>'Data Entry'!F15</f>
        <v>2.5</v>
      </c>
      <c r="D9" s="18"/>
      <c r="E9" s="17"/>
      <c r="F9" s="18"/>
      <c r="G9" s="18"/>
      <c r="H9" s="19"/>
      <c r="I9" s="18"/>
      <c r="J9" s="19"/>
      <c r="K9" s="12"/>
      <c r="L9" s="12"/>
      <c r="M9" s="15"/>
    </row>
    <row r="10" spans="1:14" ht="15" x14ac:dyDescent="0.25">
      <c r="A10" s="16"/>
      <c r="B10" s="30" t="s">
        <v>20</v>
      </c>
      <c r="C10" s="106">
        <f>'Data Entry'!C11</f>
        <v>10</v>
      </c>
      <c r="D10" s="18"/>
      <c r="E10" s="17"/>
      <c r="F10" s="18"/>
      <c r="G10" s="108">
        <f>H10-$C$12</f>
        <v>550</v>
      </c>
      <c r="H10" s="108">
        <f>I10-$C$12</f>
        <v>600</v>
      </c>
      <c r="I10" s="108">
        <f>J10-$C$12</f>
        <v>650</v>
      </c>
      <c r="J10" s="109">
        <f>'Data Entry'!C8</f>
        <v>700</v>
      </c>
      <c r="K10" s="108">
        <f>J10+$C$12</f>
        <v>750</v>
      </c>
      <c r="L10" s="108">
        <f>K10+$C$12</f>
        <v>800</v>
      </c>
      <c r="M10" s="110">
        <f>L10+$C$12</f>
        <v>850</v>
      </c>
    </row>
    <row r="11" spans="1:14" ht="15" x14ac:dyDescent="0.25">
      <c r="A11" s="16"/>
      <c r="B11" s="33" t="s">
        <v>106</v>
      </c>
      <c r="C11" s="46"/>
      <c r="D11" s="18"/>
      <c r="E11" s="17"/>
      <c r="F11" s="29" t="s">
        <v>6</v>
      </c>
      <c r="G11" s="18"/>
      <c r="H11" s="18"/>
      <c r="I11" s="18"/>
      <c r="J11" s="12"/>
      <c r="K11" s="12"/>
      <c r="L11" s="12"/>
      <c r="M11" s="15"/>
    </row>
    <row r="12" spans="1:14" ht="15" x14ac:dyDescent="0.25">
      <c r="A12" s="16"/>
      <c r="B12" s="37" t="s">
        <v>56</v>
      </c>
      <c r="C12" s="61">
        <f>'Data Entry'!C17</f>
        <v>50</v>
      </c>
      <c r="D12" s="18"/>
      <c r="E12" s="32"/>
      <c r="F12" s="29" t="s">
        <v>7</v>
      </c>
      <c r="G12" s="269" t="s">
        <v>8</v>
      </c>
      <c r="H12" s="269"/>
      <c r="I12" s="269"/>
      <c r="J12" s="269"/>
      <c r="K12" s="269"/>
      <c r="L12" s="269"/>
      <c r="M12" s="270"/>
    </row>
    <row r="13" spans="1:14" ht="15.75" thickBot="1" x14ac:dyDescent="0.3">
      <c r="A13" s="16"/>
      <c r="B13" s="43" t="s">
        <v>28</v>
      </c>
      <c r="C13" s="46"/>
      <c r="D13" s="18"/>
      <c r="E13" s="35" t="s">
        <v>9</v>
      </c>
      <c r="F13" s="36" t="s">
        <v>10</v>
      </c>
      <c r="G13" s="247" t="s">
        <v>23</v>
      </c>
      <c r="H13" s="247"/>
      <c r="I13" s="247"/>
      <c r="J13" s="247"/>
      <c r="K13" s="247"/>
      <c r="L13" s="247"/>
      <c r="M13" s="248"/>
    </row>
    <row r="14" spans="1:14" ht="15" x14ac:dyDescent="0.25">
      <c r="A14" s="16"/>
      <c r="B14" s="113" t="s">
        <v>29</v>
      </c>
      <c r="C14" s="107">
        <f>'Data Entry'!C15</f>
        <v>30</v>
      </c>
      <c r="D14" s="18"/>
      <c r="E14" s="39" t="s">
        <v>11</v>
      </c>
      <c r="F14" s="40" t="s">
        <v>12</v>
      </c>
      <c r="G14" s="111">
        <f>'Data Entry'!$F$15/(G$10/(('Data Entry'!$C$9/100)*2200))</f>
        <v>4.6000000000000005</v>
      </c>
      <c r="H14" s="111">
        <f>'Data Entry'!$F$15/(H$10/(('Data Entry'!$C$9/100)*2200))</f>
        <v>4.2166666666666668</v>
      </c>
      <c r="I14" s="111">
        <f>'Data Entry'!$F$15/(I$10/(('Data Entry'!$C$9/100)*2200))</f>
        <v>3.8923076923076927</v>
      </c>
      <c r="J14" s="111">
        <f>'Data Entry'!$F$15/(J$10/(('Data Entry'!$C$9/100)*2200))</f>
        <v>3.6142857142857143</v>
      </c>
      <c r="K14" s="111">
        <f>'Data Entry'!$F$15/(K$10/(('Data Entry'!$C$9/100)*2200))</f>
        <v>3.3733333333333331</v>
      </c>
      <c r="L14" s="111">
        <f>'Data Entry'!$F$15/(L$10/(('Data Entry'!$C$9/100)*2200))</f>
        <v>3.1625000000000001</v>
      </c>
      <c r="M14" s="112">
        <f>'Data Entry'!$F$15/(M$10/(('Data Entry'!$C$9/100)*2200))</f>
        <v>2.9764705882352942</v>
      </c>
    </row>
    <row r="15" spans="1:14" ht="15" x14ac:dyDescent="0.25">
      <c r="A15" s="16"/>
      <c r="B15" s="43" t="s">
        <v>30</v>
      </c>
      <c r="C15" s="46"/>
      <c r="D15" s="18"/>
      <c r="E15" s="190">
        <f>IF((E19-4*$C$10)&lt;0,0,(E19-4*$C$10))</f>
        <v>0</v>
      </c>
      <c r="F15" s="126">
        <f t="shared" ref="F15:F23" si="0">IF(((-0.0032*(E15+$C$14)^2 + 0.6709*(E15+$C$14))-(-0.0032*($C$14)^2 + 0.6709*($C$14)))&lt;0,0,(-0.0032*(E15+$C$14)^2 + 0.6709*(E15+$C$14))-(-0.0032*($C$14)^2 + 0.6709*($C$14)))</f>
        <v>0</v>
      </c>
      <c r="G15" s="135">
        <f>('Data Entry'!$F$15*$F15)-(G$10/(('Data Entry'!$C$9/100)*2200))*($E15)</f>
        <v>0</v>
      </c>
      <c r="H15" s="135">
        <f>('Data Entry'!$F$15*$F15)-(H$10/(('Data Entry'!$C$9/100)*2200))*($E15)</f>
        <v>0</v>
      </c>
      <c r="I15" s="135">
        <f>('Data Entry'!$F$15*$F15)-(I$10/(('Data Entry'!$C$9/100)*2200))*($E15)</f>
        <v>0</v>
      </c>
      <c r="J15" s="135">
        <f>('Data Entry'!$F$15*$F15)-(J$10/(('Data Entry'!$C$9/100)*2200))*($E15)</f>
        <v>0</v>
      </c>
      <c r="K15" s="135">
        <f>('Data Entry'!$F$15*$F15)-(K$10/(('Data Entry'!$C$9/100)*2200))*($E15)</f>
        <v>0</v>
      </c>
      <c r="L15" s="135">
        <f>('Data Entry'!$F$15*$F15)-(L$10/(('Data Entry'!$C$9/100)*2200))*($E15)</f>
        <v>0</v>
      </c>
      <c r="M15" s="136">
        <f>('Data Entry'!$F$15*$F15)-(M$10/(('Data Entry'!$C$9/100)*2200))*($E15)</f>
        <v>0</v>
      </c>
    </row>
    <row r="16" spans="1:14" ht="15" x14ac:dyDescent="0.25">
      <c r="A16" s="16"/>
      <c r="B16" s="54"/>
      <c r="D16" s="18"/>
      <c r="E16" s="190">
        <f>IF((E20-4*$C$10)&lt;0,0,(E20-4*$C$10))</f>
        <v>10</v>
      </c>
      <c r="F16" s="126">
        <f t="shared" si="0"/>
        <v>4.4689999999999976</v>
      </c>
      <c r="G16" s="135">
        <f>('Data Entry'!$F$15*$F16)-(G$10/(('Data Entry'!$C$9/100)*2200))*($E16)</f>
        <v>5.7377173913043418</v>
      </c>
      <c r="H16" s="135">
        <f>('Data Entry'!$F$15*$F16)-(H$10/(('Data Entry'!$C$9/100)*2200))*($E16)</f>
        <v>5.2436462450592822</v>
      </c>
      <c r="I16" s="135">
        <f>('Data Entry'!$F$15*$F16)-(I$10/(('Data Entry'!$C$9/100)*2200))*($E16)</f>
        <v>4.7495750988142236</v>
      </c>
      <c r="J16" s="135">
        <f>('Data Entry'!$F$15*$F16)-(J$10/(('Data Entry'!$C$9/100)*2200))*($E16)</f>
        <v>4.255503952569164</v>
      </c>
      <c r="K16" s="135">
        <f>('Data Entry'!$F$15*$F16)-(K$10/(('Data Entry'!$C$9/100)*2200))*($E16)</f>
        <v>3.7614328063241045</v>
      </c>
      <c r="L16" s="135">
        <f>('Data Entry'!$F$15*$F16)-(L$10/(('Data Entry'!$C$9/100)*2200))*($E16)</f>
        <v>3.2673616600790458</v>
      </c>
      <c r="M16" s="136">
        <f>('Data Entry'!$F$15*$F16)-(M$10/(('Data Entry'!$C$9/100)*2200))*($E16)</f>
        <v>2.7732905138339863</v>
      </c>
    </row>
    <row r="17" spans="1:19" ht="15" x14ac:dyDescent="0.25">
      <c r="A17" s="16"/>
      <c r="B17" s="54"/>
      <c r="D17" s="18"/>
      <c r="E17" s="190">
        <f>IF((E21-4*$C$10)&lt;0,0,(E21-4*$C$10))</f>
        <v>20</v>
      </c>
      <c r="F17" s="126">
        <f t="shared" si="0"/>
        <v>8.2979999999999983</v>
      </c>
      <c r="G17" s="135">
        <f>('Data Entry'!$F$15*$F17)-(G$10/(('Data Entry'!$C$9/100)*2200))*($E17)</f>
        <v>9.8754347826086928</v>
      </c>
      <c r="H17" s="135">
        <f>('Data Entry'!$F$15*$F17)-(H$10/(('Data Entry'!$C$9/100)*2200))*($E17)</f>
        <v>8.8872924901185737</v>
      </c>
      <c r="I17" s="135">
        <f>('Data Entry'!$F$15*$F17)-(I$10/(('Data Entry'!$C$9/100)*2200))*($E17)</f>
        <v>7.8991501976284564</v>
      </c>
      <c r="J17" s="135">
        <f>('Data Entry'!$F$15*$F17)-(J$10/(('Data Entry'!$C$9/100)*2200))*($E17)</f>
        <v>6.9110079051383373</v>
      </c>
      <c r="K17" s="135">
        <f>('Data Entry'!$F$15*$F17)-(K$10/(('Data Entry'!$C$9/100)*2200))*($E17)</f>
        <v>5.9228656126482182</v>
      </c>
      <c r="L17" s="135">
        <f>('Data Entry'!$F$15*$F17)-(L$10/(('Data Entry'!$C$9/100)*2200))*($E17)</f>
        <v>4.9347233201581009</v>
      </c>
      <c r="M17" s="136">
        <f>('Data Entry'!$F$15*$F17)-(M$10/(('Data Entry'!$C$9/100)*2200))*($E17)</f>
        <v>3.9465810276679818</v>
      </c>
    </row>
    <row r="18" spans="1:19" ht="15.75" thickBot="1" x14ac:dyDescent="0.3">
      <c r="A18" s="16"/>
      <c r="B18" s="17"/>
      <c r="C18" s="18"/>
      <c r="D18" s="18"/>
      <c r="E18" s="193">
        <f>IF((E22-4*$C$10)&lt;0,0,(E22-4*$C$10))</f>
        <v>30</v>
      </c>
      <c r="F18" s="126">
        <f t="shared" si="0"/>
        <v>11.486999999999998</v>
      </c>
      <c r="G18" s="135">
        <f>('Data Entry'!$F$15*$F18)-(G$10/(('Data Entry'!$C$9/100)*2200))*($E18)</f>
        <v>12.413152173913037</v>
      </c>
      <c r="H18" s="135">
        <f>('Data Entry'!$F$15*$F18)-(H$10/(('Data Entry'!$C$9/100)*2200))*($E18)</f>
        <v>10.930938735177858</v>
      </c>
      <c r="I18" s="135">
        <f>('Data Entry'!$F$15*$F18)-(I$10/(('Data Entry'!$C$9/100)*2200))*($E18)</f>
        <v>9.4487252964426816</v>
      </c>
      <c r="J18" s="135">
        <f>('Data Entry'!$F$15*$F18)-(J$10/(('Data Entry'!$C$9/100)*2200))*($E18)</f>
        <v>7.966511857707502</v>
      </c>
      <c r="K18" s="135">
        <f>('Data Entry'!$F$15*$F18)-(K$10/(('Data Entry'!$C$9/100)*2200))*($E18)</f>
        <v>6.4842984189723261</v>
      </c>
      <c r="L18" s="135">
        <f>('Data Entry'!$F$15*$F18)-(L$10/(('Data Entry'!$C$9/100)*2200))*($E18)</f>
        <v>5.0020849802371501</v>
      </c>
      <c r="M18" s="136">
        <f>('Data Entry'!$F$15*$F18)-(M$10/(('Data Entry'!$C$9/100)*2200))*($E18)</f>
        <v>3.5198715415019706</v>
      </c>
    </row>
    <row r="19" spans="1:19" ht="15.75" thickBot="1" x14ac:dyDescent="0.3">
      <c r="A19" s="16"/>
      <c r="B19" s="54"/>
      <c r="C19" s="48"/>
      <c r="D19" s="49" t="s">
        <v>13</v>
      </c>
      <c r="E19" s="50">
        <f>'Data Entry'!H10</f>
        <v>40</v>
      </c>
      <c r="F19" s="192">
        <f t="shared" si="0"/>
        <v>14.035999999999998</v>
      </c>
      <c r="G19" s="135">
        <f>('Data Entry'!$F$15*$F19)-(G$10/(('Data Entry'!$C$9/100)*2200))*($E19)</f>
        <v>13.350869565217387</v>
      </c>
      <c r="H19" s="135">
        <f>('Data Entry'!$F$15*$F19)-(H$10/(('Data Entry'!$C$9/100)*2200))*($E19)</f>
        <v>11.374584980237149</v>
      </c>
      <c r="I19" s="135">
        <f>('Data Entry'!$F$15*$F19)-(I$10/(('Data Entry'!$C$9/100)*2200))*($E19)</f>
        <v>9.3983003952569142</v>
      </c>
      <c r="J19" s="135">
        <f>('Data Entry'!$F$15*$F19)-(J$10/(('Data Entry'!$C$9/100)*2200))*($E19)</f>
        <v>7.422015810276676</v>
      </c>
      <c r="K19" s="135">
        <f>('Data Entry'!$F$15*$F19)-(K$10/(('Data Entry'!$C$9/100)*2200))*($E19)</f>
        <v>5.4457312252964378</v>
      </c>
      <c r="L19" s="135">
        <f>('Data Entry'!$F$15*$F19)-(L$10/(('Data Entry'!$C$9/100)*2200))*($E19)</f>
        <v>3.4694466403162032</v>
      </c>
      <c r="M19" s="136">
        <f>('Data Entry'!$F$15*$F19)-(M$10/(('Data Entry'!$C$9/100)*2200))*($E19)</f>
        <v>1.493162055335965</v>
      </c>
    </row>
    <row r="20" spans="1:19" ht="15" x14ac:dyDescent="0.25">
      <c r="A20" s="16"/>
      <c r="B20" s="17"/>
      <c r="C20" s="18"/>
      <c r="D20" s="18"/>
      <c r="E20" s="194">
        <f>E19+C10</f>
        <v>50</v>
      </c>
      <c r="F20" s="126">
        <f t="shared" si="0"/>
        <v>15.945000000000004</v>
      </c>
      <c r="G20" s="135">
        <f>('Data Entry'!$F$15*$F20)-(G$10/(('Data Entry'!$C$9/100)*2200))*($E20)</f>
        <v>12.688586956521753</v>
      </c>
      <c r="H20" s="135">
        <f>('Data Entry'!$F$15*$F20)-(H$10/(('Data Entry'!$C$9/100)*2200))*($E20)</f>
        <v>10.218231225296453</v>
      </c>
      <c r="I20" s="135">
        <f>('Data Entry'!$F$15*$F20)-(I$10/(('Data Entry'!$C$9/100)*2200))*($E20)</f>
        <v>7.7478754940711596</v>
      </c>
      <c r="J20" s="135">
        <f>('Data Entry'!$F$15*$F20)-(J$10/(('Data Entry'!$C$9/100)*2200))*($E20)</f>
        <v>5.2775197628458628</v>
      </c>
      <c r="K20" s="135">
        <f>('Data Entry'!$F$15*$F20)-(K$10/(('Data Entry'!$C$9/100)*2200))*($E20)</f>
        <v>2.8071640316205588</v>
      </c>
      <c r="L20" s="135">
        <f>('Data Entry'!$F$15*$F20)-(L$10/(('Data Entry'!$C$9/100)*2200))*($E20)</f>
        <v>0.3368083003952691</v>
      </c>
      <c r="M20" s="136">
        <f>('Data Entry'!$F$15*$F20)-(M$10/(('Data Entry'!$C$9/100)*2200))*($E20)</f>
        <v>-2.1335474308300277</v>
      </c>
    </row>
    <row r="21" spans="1:19" ht="15" x14ac:dyDescent="0.25">
      <c r="A21" s="16"/>
      <c r="B21" s="17"/>
      <c r="C21" s="18"/>
      <c r="D21" s="18"/>
      <c r="E21" s="190">
        <f>E19+2*C10</f>
        <v>60</v>
      </c>
      <c r="F21" s="126">
        <f t="shared" si="0"/>
        <v>17.214000000000002</v>
      </c>
      <c r="G21" s="135">
        <f>('Data Entry'!$F$15*$F21)-(G$10/(('Data Entry'!$C$9/100)*2200))*($E21)</f>
        <v>10.42630434782609</v>
      </c>
      <c r="H21" s="135">
        <f>('Data Entry'!$F$15*$F21)-(H$10/(('Data Entry'!$C$9/100)*2200))*($E21)</f>
        <v>7.4618774703557307</v>
      </c>
      <c r="I21" s="135">
        <f>('Data Entry'!$F$15*$F21)-(I$10/(('Data Entry'!$C$9/100)*2200))*($E21)</f>
        <v>4.4974505928853787</v>
      </c>
      <c r="J21" s="135">
        <f>('Data Entry'!$F$15*$F21)-(J$10/(('Data Entry'!$C$9/100)*2200))*($E21)</f>
        <v>1.5330237154150197</v>
      </c>
      <c r="K21" s="135">
        <f>('Data Entry'!$F$15*$F21)-(K$10/(('Data Entry'!$C$9/100)*2200))*($E21)</f>
        <v>-1.4314031620553322</v>
      </c>
      <c r="L21" s="135">
        <f>('Data Entry'!$F$15*$F21)-(L$10/(('Data Entry'!$C$9/100)*2200))*($E21)</f>
        <v>-4.3958300395256842</v>
      </c>
      <c r="M21" s="136">
        <f>('Data Entry'!$F$15*$F21)-(M$10/(('Data Entry'!$C$9/100)*2200))*($E21)</f>
        <v>-7.3602569169960432</v>
      </c>
    </row>
    <row r="22" spans="1:19" ht="15" x14ac:dyDescent="0.25">
      <c r="A22" s="16"/>
      <c r="B22" s="17"/>
      <c r="C22" s="18"/>
      <c r="D22" s="18"/>
      <c r="E22" s="190">
        <f>E19+3*C10</f>
        <v>70</v>
      </c>
      <c r="F22" s="126">
        <f t="shared" si="0"/>
        <v>17.843</v>
      </c>
      <c r="G22" s="135">
        <f>('Data Entry'!$F$15*$F22)-(G$10/(('Data Entry'!$C$9/100)*2200))*($E22)</f>
        <v>6.564021739130439</v>
      </c>
      <c r="H22" s="135">
        <f>('Data Entry'!$F$15*$F22)-(H$10/(('Data Entry'!$C$9/100)*2200))*($E22)</f>
        <v>3.1055237154150177</v>
      </c>
      <c r="I22" s="135">
        <f>('Data Entry'!$F$15*$F22)-(I$10/(('Data Entry'!$C$9/100)*2200))*($E22)</f>
        <v>-0.35297430830038934</v>
      </c>
      <c r="J22" s="135">
        <f>('Data Entry'!$F$15*$F22)-(J$10/(('Data Entry'!$C$9/100)*2200))*($E22)</f>
        <v>-3.8114723320158106</v>
      </c>
      <c r="K22" s="135">
        <f>('Data Entry'!$F$15*$F22)-(K$10/(('Data Entry'!$C$9/100)*2200))*($E22)</f>
        <v>-7.2699703557312247</v>
      </c>
      <c r="L22" s="135">
        <f>('Data Entry'!$F$15*$F22)-(L$10/(('Data Entry'!$C$9/100)*2200))*($E22)</f>
        <v>-10.728468379446639</v>
      </c>
      <c r="M22" s="136">
        <f>('Data Entry'!$F$15*$F22)-(M$10/(('Data Entry'!$C$9/100)*2200))*($E22)</f>
        <v>-14.186966403162053</v>
      </c>
    </row>
    <row r="23" spans="1:19" ht="15" x14ac:dyDescent="0.25">
      <c r="A23" s="16"/>
      <c r="B23" s="17"/>
      <c r="C23" s="18"/>
      <c r="D23" s="18"/>
      <c r="E23" s="190">
        <f>E19+4*C10</f>
        <v>80</v>
      </c>
      <c r="F23" s="126">
        <f t="shared" si="0"/>
        <v>17.832000000000004</v>
      </c>
      <c r="G23" s="135">
        <f>('Data Entry'!$F$15*$F23)-(G$10/(('Data Entry'!$C$9/100)*2200))*($E23)</f>
        <v>1.1017391304347939</v>
      </c>
      <c r="H23" s="135">
        <f>('Data Entry'!$F$15*$F23)-(H$10/(('Data Entry'!$C$9/100)*2200))*($E23)</f>
        <v>-2.8508300395256825</v>
      </c>
      <c r="I23" s="135">
        <f>('Data Entry'!$F$15*$F23)-(I$10/(('Data Entry'!$C$9/100)*2200))*($E23)</f>
        <v>-6.8033992094861517</v>
      </c>
      <c r="J23" s="135">
        <f>('Data Entry'!$F$15*$F23)-(J$10/(('Data Entry'!$C$9/100)*2200))*($E23)</f>
        <v>-10.755968379446628</v>
      </c>
      <c r="K23" s="135">
        <f>('Data Entry'!$F$15*$F23)-(K$10/(('Data Entry'!$C$9/100)*2200))*($E23)</f>
        <v>-14.708537549407104</v>
      </c>
      <c r="L23" s="135">
        <f>('Data Entry'!$F$15*$F23)-(L$10/(('Data Entry'!$C$9/100)*2200))*($E23)</f>
        <v>-18.661106719367574</v>
      </c>
      <c r="M23" s="136">
        <f>('Data Entry'!$F$15*$F23)-(M$10/(('Data Entry'!$C$9/100)*2200))*($E23)</f>
        <v>-22.61367588932805</v>
      </c>
    </row>
    <row r="24" spans="1:19" ht="13.5" customHeight="1" x14ac:dyDescent="0.2">
      <c r="A24" s="16"/>
      <c r="B24" s="17"/>
      <c r="C24" s="18"/>
      <c r="D24" s="18"/>
      <c r="E24" s="266" t="s">
        <v>55</v>
      </c>
      <c r="F24" s="267"/>
      <c r="G24" s="272"/>
      <c r="H24" s="272"/>
      <c r="I24" s="272"/>
      <c r="J24" s="272"/>
      <c r="K24" s="272"/>
      <c r="L24" s="272"/>
      <c r="M24" s="273"/>
    </row>
    <row r="25" spans="1:19" ht="9.75" customHeight="1" x14ac:dyDescent="0.2">
      <c r="A25" s="16"/>
      <c r="B25" s="17"/>
      <c r="C25" s="18"/>
      <c r="D25" s="18"/>
      <c r="E25" s="266" t="s">
        <v>16</v>
      </c>
      <c r="F25" s="267"/>
      <c r="G25" s="267"/>
      <c r="H25" s="267"/>
      <c r="I25" s="267"/>
      <c r="J25" s="267"/>
      <c r="K25" s="267"/>
      <c r="L25" s="267"/>
      <c r="M25" s="268"/>
    </row>
    <row r="26" spans="1:19" ht="9.75" customHeight="1" x14ac:dyDescent="0.2">
      <c r="A26" s="16"/>
      <c r="B26" s="17"/>
      <c r="C26" s="18"/>
      <c r="D26" s="18"/>
      <c r="E26" s="266" t="s">
        <v>24</v>
      </c>
      <c r="F26" s="267"/>
      <c r="G26" s="267"/>
      <c r="H26" s="267"/>
      <c r="I26" s="267"/>
      <c r="J26" s="267"/>
      <c r="K26" s="267"/>
      <c r="L26" s="267"/>
      <c r="M26" s="268"/>
    </row>
    <row r="27" spans="1:19" ht="11.25" customHeight="1" x14ac:dyDescent="0.2">
      <c r="A27" s="16"/>
      <c r="B27" s="17"/>
      <c r="C27" s="18"/>
      <c r="D27" s="18"/>
      <c r="E27" s="262" t="s">
        <v>87</v>
      </c>
      <c r="F27" s="287"/>
      <c r="G27" s="287"/>
      <c r="H27" s="287"/>
      <c r="I27" s="287"/>
      <c r="J27" s="287"/>
      <c r="K27" s="287"/>
      <c r="L27" s="287"/>
      <c r="M27" s="246"/>
      <c r="N27" s="130"/>
      <c r="O27"/>
      <c r="P27"/>
      <c r="Q27"/>
      <c r="R27"/>
      <c r="S27"/>
    </row>
    <row r="28" spans="1:19" ht="12" customHeight="1" thickBot="1" x14ac:dyDescent="0.25">
      <c r="A28" s="16"/>
      <c r="B28" s="17"/>
      <c r="C28" s="18"/>
      <c r="D28" s="18"/>
      <c r="E28" s="277" t="s">
        <v>38</v>
      </c>
      <c r="F28" s="279"/>
      <c r="G28" s="279"/>
      <c r="H28" s="279"/>
      <c r="I28" s="279"/>
      <c r="J28" s="280"/>
      <c r="K28" s="280"/>
      <c r="L28" s="280"/>
      <c r="M28" s="281"/>
    </row>
    <row r="29" spans="1:19" ht="10.5" customHeight="1" x14ac:dyDescent="0.2">
      <c r="A29" s="16"/>
      <c r="B29" s="17"/>
      <c r="C29" s="18"/>
      <c r="D29" s="18"/>
      <c r="E29" s="53"/>
      <c r="F29" s="53"/>
      <c r="G29" s="53"/>
      <c r="H29" s="53"/>
      <c r="I29" s="53"/>
      <c r="J29" s="12"/>
      <c r="K29" s="12"/>
      <c r="L29" s="12"/>
      <c r="M29" s="15"/>
    </row>
    <row r="30" spans="1:19" ht="10.5" customHeight="1" thickBot="1" x14ac:dyDescent="0.25">
      <c r="B30" s="252"/>
      <c r="C30" s="253"/>
      <c r="D30" s="253"/>
      <c r="E30" s="253"/>
      <c r="F30" s="253"/>
      <c r="G30" s="253"/>
      <c r="H30" s="253"/>
      <c r="I30" s="253"/>
      <c r="J30" s="55"/>
      <c r="K30" s="55"/>
      <c r="L30" s="55"/>
      <c r="M30" s="56"/>
    </row>
  </sheetData>
  <sheetProtection password="CE5A" sheet="1" objects="1" scenarios="1"/>
  <mergeCells count="15">
    <mergeCell ref="H8:L8"/>
    <mergeCell ref="G12:M12"/>
    <mergeCell ref="G13:M13"/>
    <mergeCell ref="B2:M2"/>
    <mergeCell ref="B3:M3"/>
    <mergeCell ref="B7:C7"/>
    <mergeCell ref="K5:M5"/>
    <mergeCell ref="G5:J5"/>
    <mergeCell ref="D5:F5"/>
    <mergeCell ref="E24:M24"/>
    <mergeCell ref="E27:M27"/>
    <mergeCell ref="E28:M28"/>
    <mergeCell ref="B30:I30"/>
    <mergeCell ref="E25:M25"/>
    <mergeCell ref="E26:M26"/>
  </mergeCells>
  <phoneticPr fontId="15" type="noConversion"/>
  <conditionalFormatting sqref="I15:I23">
    <cfRule type="cellIs" dxfId="62" priority="1" stopIfTrue="1" operator="between">
      <formula>MAX($I$15:$I$23)-0.5</formula>
      <formula>MAX($I$15:$I$23)+0.5</formula>
    </cfRule>
    <cfRule type="cellIs" dxfId="61" priority="2" stopIfTrue="1" operator="between">
      <formula>MAX($I$15:$I$23)-0.5</formula>
      <formula>MAX($I$15:$I$23)-1.5</formula>
    </cfRule>
    <cfRule type="cellIs" dxfId="60" priority="3" stopIfTrue="1" operator="between">
      <formula>MAX($I$15:$I$23)+0.5</formula>
      <formula>MAX($I$15:$I$23)+1.5</formula>
    </cfRule>
  </conditionalFormatting>
  <conditionalFormatting sqref="J15:J23">
    <cfRule type="cellIs" dxfId="59" priority="4" stopIfTrue="1" operator="between">
      <formula>MAX($J$15:$J$23)-0.5</formula>
      <formula>MAX($J$15:$J$23)+0.5</formula>
    </cfRule>
    <cfRule type="cellIs" dxfId="58" priority="5" stopIfTrue="1" operator="between">
      <formula>MAX($J$15:$J$23)-0.5</formula>
      <formula>MAX($J$15:$J$23)-1.5</formula>
    </cfRule>
    <cfRule type="cellIs" dxfId="57" priority="6" stopIfTrue="1" operator="between">
      <formula>MAX($J$15:$J$23)+0.5</formula>
      <formula>MAX($J$15:$J$23)+1.5</formula>
    </cfRule>
  </conditionalFormatting>
  <conditionalFormatting sqref="K15:K23">
    <cfRule type="cellIs" dxfId="56" priority="7" stopIfTrue="1" operator="between">
      <formula>MAX($K$15:$K$23)-0.5</formula>
      <formula>MAX($K$15:$K$23)+0.5</formula>
    </cfRule>
    <cfRule type="cellIs" dxfId="55" priority="8" stopIfTrue="1" operator="between">
      <formula>MAX($K$15:$K$23)-0.5</formula>
      <formula>MAX($K$15:$K$23)-1.5</formula>
    </cfRule>
    <cfRule type="cellIs" dxfId="54" priority="9" stopIfTrue="1" operator="between">
      <formula>MAX($K$15:$K$23)+0.5</formula>
      <formula>MAX($K$15:$K$23)+1.5</formula>
    </cfRule>
  </conditionalFormatting>
  <conditionalFormatting sqref="G15:G23">
    <cfRule type="cellIs" dxfId="53" priority="10" stopIfTrue="1" operator="between">
      <formula>MAX($G$15:$G$23)-0.5</formula>
      <formula>MAX($G$15:$G$23)+0.5</formula>
    </cfRule>
    <cfRule type="cellIs" dxfId="52" priority="11" stopIfTrue="1" operator="between">
      <formula>MAX($G$15:$G$23)-0.5</formula>
      <formula>MAX($G$15:$G$23)-1.5</formula>
    </cfRule>
    <cfRule type="cellIs" dxfId="51" priority="12" stopIfTrue="1" operator="between">
      <formula>MAX($G$15:$G$23)+0.5</formula>
      <formula>MAX($G$15:$G$23)+1.5</formula>
    </cfRule>
  </conditionalFormatting>
  <conditionalFormatting sqref="H15:H23">
    <cfRule type="cellIs" dxfId="50" priority="13" stopIfTrue="1" operator="between">
      <formula>MAX($H$15:$H$23)-0.5</formula>
      <formula>MAX($H$15:$H$23)+0.5</formula>
    </cfRule>
    <cfRule type="cellIs" dxfId="49" priority="14" stopIfTrue="1" operator="between">
      <formula>MAX($H$15:$H$23)-0.5</formula>
      <formula>MAX($H$15:$H$23)-1.5</formula>
    </cfRule>
    <cfRule type="cellIs" dxfId="48" priority="15" stopIfTrue="1" operator="between">
      <formula>MAX($H$15:$H$23)+0.5</formula>
      <formula>MAX($H$15:$HG$23)+1.5</formula>
    </cfRule>
  </conditionalFormatting>
  <conditionalFormatting sqref="L15:L23">
    <cfRule type="cellIs" dxfId="47" priority="16" stopIfTrue="1" operator="between">
      <formula>MAX($L$15:$L$23)-0.5</formula>
      <formula>MAX($L$15:$L$23)+0.5</formula>
    </cfRule>
    <cfRule type="cellIs" dxfId="46" priority="17" stopIfTrue="1" operator="between">
      <formula>MAX($L$15:$L$23)-0.5</formula>
      <formula>MAX($L$15:$L$23)-1.5</formula>
    </cfRule>
    <cfRule type="cellIs" dxfId="45" priority="18" stopIfTrue="1" operator="between">
      <formula>MAX($L$15:$L$23)+0.5</formula>
      <formula>MAX($L$15:$L$23)+1.5</formula>
    </cfRule>
  </conditionalFormatting>
  <conditionalFormatting sqref="M15:M23">
    <cfRule type="cellIs" dxfId="44" priority="19" stopIfTrue="1" operator="between">
      <formula>MAX($M$15:$M$23)-0.5</formula>
      <formula>MAX($M$15:$M$23)+0.5</formula>
    </cfRule>
    <cfRule type="cellIs" dxfId="43" priority="20" stopIfTrue="1" operator="between">
      <formula>MAX($M$15:$M$23)-0.5</formula>
      <formula>MAX($M$15:$M$23)-1.5</formula>
    </cfRule>
    <cfRule type="cellIs" dxfId="42" priority="21" stopIfTrue="1" operator="between">
      <formula>MAX($M$15:$M$23)+0.5</formula>
      <formula>MAX($M$15:$M$23)+1.5</formula>
    </cfRule>
  </conditionalFormatting>
  <hyperlinks>
    <hyperlink ref="D5" location="'Barley (Arid) Crop'!A1" display="Return to Barley (Arid) as variable"/>
    <hyperlink ref="G5" location="'Barley (Arid) MR'!A1" display="Go to Marginal Return Chart"/>
    <hyperlink ref="K5" location="'Data Entry'!A1" display="Return to Data Entry"/>
  </hyperlinks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showGridLines="0" workbookViewId="0">
      <selection activeCell="E19" sqref="E19"/>
    </sheetView>
  </sheetViews>
  <sheetFormatPr defaultRowHeight="12.75" x14ac:dyDescent="0.2"/>
  <cols>
    <col min="1" max="1" width="1.5703125" style="10" customWidth="1"/>
    <col min="2" max="2" width="16.5703125" style="10" customWidth="1"/>
    <col min="3" max="5" width="9.140625" style="10"/>
    <col min="6" max="6" width="14.5703125" style="10" customWidth="1"/>
    <col min="7" max="13" width="9.140625" style="10"/>
    <col min="14" max="14" width="27" style="10" customWidth="1"/>
    <col min="15" max="16384" width="9.140625" style="10"/>
  </cols>
  <sheetData>
    <row r="1" spans="1:14" ht="6" customHeight="1" thickBot="1" x14ac:dyDescent="0.25">
      <c r="B1" s="11"/>
      <c r="C1" s="11"/>
      <c r="D1" s="11"/>
      <c r="E1" s="11"/>
      <c r="F1" s="11"/>
      <c r="G1" s="11"/>
      <c r="H1" s="11"/>
      <c r="I1" s="11"/>
    </row>
    <row r="2" spans="1:14" ht="20.25" x14ac:dyDescent="0.3">
      <c r="A2" s="11"/>
      <c r="B2" s="234" t="s">
        <v>40</v>
      </c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6"/>
    </row>
    <row r="3" spans="1:14" ht="20.25" x14ac:dyDescent="0.3">
      <c r="A3" s="11"/>
      <c r="B3" s="237" t="s">
        <v>65</v>
      </c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9"/>
    </row>
    <row r="4" spans="1:14" ht="6.75" customHeight="1" x14ac:dyDescent="0.3">
      <c r="A4" s="11"/>
      <c r="B4" s="13"/>
      <c r="C4" s="14"/>
      <c r="D4" s="14"/>
      <c r="E4" s="14"/>
      <c r="F4" s="14"/>
      <c r="G4" s="14"/>
      <c r="H4" s="14"/>
      <c r="I4" s="14"/>
      <c r="J4" s="12"/>
      <c r="K4" s="12"/>
      <c r="L4" s="12"/>
      <c r="M4" s="15"/>
      <c r="N4" s="158"/>
    </row>
    <row r="5" spans="1:14" x14ac:dyDescent="0.2">
      <c r="B5" s="198"/>
      <c r="C5" s="199"/>
      <c r="D5" s="282" t="s">
        <v>98</v>
      </c>
      <c r="E5" s="283"/>
      <c r="F5" s="283"/>
      <c r="G5" s="282" t="s">
        <v>69</v>
      </c>
      <c r="H5" s="283"/>
      <c r="I5" s="283"/>
      <c r="J5" s="283"/>
      <c r="K5" s="245" t="s">
        <v>96</v>
      </c>
      <c r="L5" s="244"/>
      <c r="M5" s="246"/>
    </row>
    <row r="6" spans="1:14" ht="4.5" customHeight="1" thickBot="1" x14ac:dyDescent="0.25">
      <c r="A6" s="16"/>
      <c r="B6" s="17"/>
      <c r="C6" s="18"/>
      <c r="D6" s="18"/>
      <c r="E6" s="18"/>
      <c r="F6" s="18"/>
      <c r="G6" s="18"/>
      <c r="H6" s="18"/>
      <c r="I6" s="18"/>
      <c r="J6" s="12"/>
      <c r="K6" s="12"/>
      <c r="L6" s="12"/>
      <c r="M6" s="15"/>
      <c r="N6" s="158"/>
    </row>
    <row r="7" spans="1:14" ht="15.75" customHeight="1" thickBot="1" x14ac:dyDescent="0.3">
      <c r="A7" s="16"/>
      <c r="B7" s="240" t="s">
        <v>61</v>
      </c>
      <c r="C7" s="241"/>
      <c r="D7" s="18"/>
      <c r="E7" s="18"/>
      <c r="F7" s="18"/>
      <c r="G7" s="18"/>
      <c r="H7" s="19"/>
      <c r="I7" s="18"/>
      <c r="J7" s="19"/>
      <c r="K7" s="12"/>
      <c r="L7" s="12"/>
      <c r="M7" s="15"/>
    </row>
    <row r="8" spans="1:14" ht="15" customHeight="1" x14ac:dyDescent="0.25">
      <c r="A8" s="16"/>
      <c r="B8" s="87" t="s">
        <v>58</v>
      </c>
      <c r="C8" s="21" t="s">
        <v>64</v>
      </c>
      <c r="D8" s="18"/>
      <c r="E8" s="22"/>
      <c r="F8" s="23"/>
      <c r="G8" s="23"/>
      <c r="H8" s="242" t="s">
        <v>63</v>
      </c>
      <c r="I8" s="243"/>
      <c r="J8" s="243"/>
      <c r="K8" s="243"/>
      <c r="L8" s="243"/>
      <c r="M8" s="24"/>
    </row>
    <row r="9" spans="1:14" ht="15" x14ac:dyDescent="0.2">
      <c r="A9" s="16"/>
      <c r="B9" s="20" t="s">
        <v>60</v>
      </c>
      <c r="C9" s="83">
        <f>'Data Entry'!F16</f>
        <v>9</v>
      </c>
      <c r="D9" s="18"/>
      <c r="E9" s="17"/>
      <c r="F9" s="18"/>
      <c r="G9" s="18"/>
      <c r="H9" s="19"/>
      <c r="I9" s="18"/>
      <c r="J9" s="19"/>
      <c r="K9" s="12"/>
      <c r="L9" s="12"/>
      <c r="M9" s="15"/>
    </row>
    <row r="10" spans="1:14" ht="15" x14ac:dyDescent="0.25">
      <c r="A10" s="16"/>
      <c r="B10" s="30" t="s">
        <v>20</v>
      </c>
      <c r="C10" s="106">
        <f>'Data Entry'!C11</f>
        <v>10</v>
      </c>
      <c r="D10" s="18"/>
      <c r="E10" s="17"/>
      <c r="F10" s="18"/>
      <c r="G10" s="108">
        <f>H10-$C$12</f>
        <v>550</v>
      </c>
      <c r="H10" s="108">
        <f>I10-$C$12</f>
        <v>600</v>
      </c>
      <c r="I10" s="108">
        <f>J10-$C$12</f>
        <v>650</v>
      </c>
      <c r="J10" s="109">
        <f>'Data Entry'!C8</f>
        <v>700</v>
      </c>
      <c r="K10" s="108">
        <f>J10+$C$12</f>
        <v>750</v>
      </c>
      <c r="L10" s="108">
        <f>K10+$C$12</f>
        <v>800</v>
      </c>
      <c r="M10" s="110">
        <f>L10+$C$12</f>
        <v>850</v>
      </c>
    </row>
    <row r="11" spans="1:14" ht="15" x14ac:dyDescent="0.25">
      <c r="A11" s="16"/>
      <c r="B11" s="33" t="s">
        <v>106</v>
      </c>
      <c r="C11" s="46"/>
      <c r="D11" s="18"/>
      <c r="E11" s="17"/>
      <c r="F11" s="29" t="s">
        <v>6</v>
      </c>
      <c r="G11" s="18"/>
      <c r="H11" s="18"/>
      <c r="I11" s="18"/>
      <c r="J11" s="12"/>
      <c r="K11" s="12"/>
      <c r="L11" s="12"/>
      <c r="M11" s="15"/>
    </row>
    <row r="12" spans="1:14" ht="15" x14ac:dyDescent="0.25">
      <c r="A12" s="16"/>
      <c r="B12" s="37" t="s">
        <v>56</v>
      </c>
      <c r="C12" s="61">
        <f>'Data Entry'!C17</f>
        <v>50</v>
      </c>
      <c r="D12" s="18"/>
      <c r="E12" s="32"/>
      <c r="F12" s="29" t="s">
        <v>7</v>
      </c>
      <c r="G12" s="269" t="s">
        <v>8</v>
      </c>
      <c r="H12" s="269"/>
      <c r="I12" s="269"/>
      <c r="J12" s="269"/>
      <c r="K12" s="269"/>
      <c r="L12" s="269"/>
      <c r="M12" s="270"/>
    </row>
    <row r="13" spans="1:14" ht="15.75" thickBot="1" x14ac:dyDescent="0.3">
      <c r="A13" s="16"/>
      <c r="B13" s="43" t="s">
        <v>28</v>
      </c>
      <c r="C13" s="46"/>
      <c r="D13" s="18"/>
      <c r="E13" s="35" t="s">
        <v>9</v>
      </c>
      <c r="F13" s="36" t="s">
        <v>10</v>
      </c>
      <c r="G13" s="247" t="s">
        <v>15</v>
      </c>
      <c r="H13" s="247"/>
      <c r="I13" s="247"/>
      <c r="J13" s="247"/>
      <c r="K13" s="247"/>
      <c r="L13" s="247"/>
      <c r="M13" s="248"/>
    </row>
    <row r="14" spans="1:14" ht="15" x14ac:dyDescent="0.25">
      <c r="A14" s="16"/>
      <c r="B14" s="113" t="s">
        <v>29</v>
      </c>
      <c r="C14" s="107">
        <f>'Data Entry'!C15</f>
        <v>30</v>
      </c>
      <c r="D14" s="18"/>
      <c r="E14" s="39" t="s">
        <v>11</v>
      </c>
      <c r="F14" s="40" t="s">
        <v>12</v>
      </c>
      <c r="G14" s="111">
        <f>'Data Entry'!$F$16/(G$10/(('Data Entry'!$C$9/100)*2200))</f>
        <v>16.560000000000002</v>
      </c>
      <c r="H14" s="111">
        <f>'Data Entry'!$F$16/(H$10/(('Data Entry'!$C$9/100)*2200))</f>
        <v>15.18</v>
      </c>
      <c r="I14" s="111">
        <f>'Data Entry'!$F$16/(I$10/(('Data Entry'!$C$9/100)*2200))</f>
        <v>14.012307692307694</v>
      </c>
      <c r="J14" s="111">
        <f>'Data Entry'!$F$16/(J$10/(('Data Entry'!$C$9/100)*2200))</f>
        <v>13.011428571428571</v>
      </c>
      <c r="K14" s="111">
        <f>'Data Entry'!$F$16/(K$10/(('Data Entry'!$C$9/100)*2200))</f>
        <v>12.143999999999998</v>
      </c>
      <c r="L14" s="111">
        <f>'Data Entry'!$F$16/(L$10/(('Data Entry'!$C$9/100)*2200))</f>
        <v>11.385</v>
      </c>
      <c r="M14" s="112">
        <f>'Data Entry'!$F$16/(M$10/(('Data Entry'!$C$9/100)*2200))</f>
        <v>10.715294117647058</v>
      </c>
    </row>
    <row r="15" spans="1:14" ht="15" x14ac:dyDescent="0.25">
      <c r="A15" s="16"/>
      <c r="B15" s="43" t="s">
        <v>30</v>
      </c>
      <c r="C15" s="46"/>
      <c r="D15" s="18"/>
      <c r="E15" s="190">
        <f>IF((E19-4*$C$10)&lt;0,0,(E19-4*$C$10))</f>
        <v>30</v>
      </c>
      <c r="F15" s="126">
        <f>IF(((-0.0009*(E15+$C$14)^2+0.2797*(E15+$C$14))-(-0.0009*($C$14)^2+0.2797*($C$14)))&lt;0,0,(-0.0009*(E15+$C$14)^2+0.2797*(E15+$C$14))-(-0.0009*($C$14)^2+0.2797*($C$14)))</f>
        <v>5.9609999999999994</v>
      </c>
      <c r="G15" s="135">
        <f>('Data Entry'!$F$16*$F15)-(G$10/(('Data Entry'!$C$9/100)*2200))*($E15)</f>
        <v>37.344652173913033</v>
      </c>
      <c r="H15" s="135">
        <f>('Data Entry'!$F$16*$F15)-(H$10/(('Data Entry'!$C$9/100)*2200))*($E15)</f>
        <v>35.862438735177861</v>
      </c>
      <c r="I15" s="135">
        <f>('Data Entry'!$F$16*$F15)-(I$10/(('Data Entry'!$C$9/100)*2200))*($E15)</f>
        <v>34.380225296442681</v>
      </c>
      <c r="J15" s="135">
        <f>('Data Entry'!$F$16*$F15)-(J$10/(('Data Entry'!$C$9/100)*2200))*($E15)</f>
        <v>32.898011857707502</v>
      </c>
      <c r="K15" s="135">
        <f>('Data Entry'!$F$16*$F15)-(K$10/(('Data Entry'!$C$9/100)*2200))*($E15)</f>
        <v>31.415798418972326</v>
      </c>
      <c r="L15" s="135">
        <f>('Data Entry'!$F$16*$F15)-(L$10/(('Data Entry'!$C$9/100)*2200))*($E15)</f>
        <v>29.93358498023715</v>
      </c>
      <c r="M15" s="136">
        <f>('Data Entry'!$F$16*$F15)-(M$10/(('Data Entry'!$C$9/100)*2200))*($E15)</f>
        <v>28.45137154150197</v>
      </c>
    </row>
    <row r="16" spans="1:14" ht="15" x14ac:dyDescent="0.25">
      <c r="A16" s="16"/>
      <c r="B16" s="54"/>
      <c r="D16" s="18"/>
      <c r="E16" s="190">
        <f>IF((E20-4*$C$10)&lt;0,0,(E20-4*$C$10))</f>
        <v>40</v>
      </c>
      <c r="F16" s="126">
        <f t="shared" ref="F16:F23" si="0">IF(((-0.0009*(E16+$C$14)^2+0.2797*(E16+$C$14))-(-0.0009*($C$14)^2+0.2797*($C$14)))&lt;0,0,(-0.0009*(E16+$C$14)^2+0.2797*(E16+$C$14))-(-0.0009*($C$14)^2+0.2797*($C$14)))</f>
        <v>7.5880000000000001</v>
      </c>
      <c r="G16" s="135">
        <f>('Data Entry'!$F$16*$F16)-(G$10/(('Data Entry'!$C$9/100)*2200))*($E16)</f>
        <v>46.552869565217392</v>
      </c>
      <c r="H16" s="135">
        <f>('Data Entry'!$F$16*$F16)-(H$10/(('Data Entry'!$C$9/100)*2200))*($E16)</f>
        <v>44.576584980237158</v>
      </c>
      <c r="I16" s="135">
        <f>('Data Entry'!$F$16*$F16)-(I$10/(('Data Entry'!$C$9/100)*2200))*($E16)</f>
        <v>42.600300395256923</v>
      </c>
      <c r="J16" s="135">
        <f>('Data Entry'!$F$16*$F16)-(J$10/(('Data Entry'!$C$9/100)*2200))*($E16)</f>
        <v>40.624015810276681</v>
      </c>
      <c r="K16" s="135">
        <f>('Data Entry'!$F$16*$F16)-(K$10/(('Data Entry'!$C$9/100)*2200))*($E16)</f>
        <v>38.64773122529644</v>
      </c>
      <c r="L16" s="135">
        <f>('Data Entry'!$F$16*$F16)-(L$10/(('Data Entry'!$C$9/100)*2200))*($E16)</f>
        <v>36.671446640316205</v>
      </c>
      <c r="M16" s="136">
        <f>('Data Entry'!$F$16*$F16)-(M$10/(('Data Entry'!$C$9/100)*2200))*($E16)</f>
        <v>34.69516205533597</v>
      </c>
    </row>
    <row r="17" spans="1:19" ht="15" x14ac:dyDescent="0.25">
      <c r="A17" s="16"/>
      <c r="B17" s="54"/>
      <c r="D17" s="18"/>
      <c r="E17" s="190">
        <f>IF((E21-4*$C$10)&lt;0,0,(E21-4*$C$10))</f>
        <v>50</v>
      </c>
      <c r="F17" s="126">
        <f t="shared" si="0"/>
        <v>9.0350000000000001</v>
      </c>
      <c r="G17" s="135">
        <f>('Data Entry'!$F$16*$F17)-(G$10/(('Data Entry'!$C$9/100)*2200))*($E17)</f>
        <v>54.14108695652174</v>
      </c>
      <c r="H17" s="135">
        <f>('Data Entry'!$F$16*$F17)-(H$10/(('Data Entry'!$C$9/100)*2200))*($E17)</f>
        <v>51.670731225296436</v>
      </c>
      <c r="I17" s="135">
        <f>('Data Entry'!$F$16*$F17)-(I$10/(('Data Entry'!$C$9/100)*2200))*($E17)</f>
        <v>49.200375494071146</v>
      </c>
      <c r="J17" s="135">
        <f>('Data Entry'!$F$16*$F17)-(J$10/(('Data Entry'!$C$9/100)*2200))*($E17)</f>
        <v>46.730019762845849</v>
      </c>
      <c r="K17" s="135">
        <f>('Data Entry'!$F$16*$F17)-(K$10/(('Data Entry'!$C$9/100)*2200))*($E17)</f>
        <v>44.259664031620545</v>
      </c>
      <c r="L17" s="135">
        <f>('Data Entry'!$F$16*$F17)-(L$10/(('Data Entry'!$C$9/100)*2200))*($E17)</f>
        <v>41.789308300395255</v>
      </c>
      <c r="M17" s="136">
        <f>('Data Entry'!$F$16*$F17)-(M$10/(('Data Entry'!$C$9/100)*2200))*($E17)</f>
        <v>39.318952569169959</v>
      </c>
    </row>
    <row r="18" spans="1:19" ht="15.75" thickBot="1" x14ac:dyDescent="0.3">
      <c r="A18" s="16"/>
      <c r="B18" s="17"/>
      <c r="C18" s="18"/>
      <c r="D18" s="18"/>
      <c r="E18" s="193">
        <f>IF((E22-4*$C$10)&lt;0,0,(E22-4*$C$10))</f>
        <v>60</v>
      </c>
      <c r="F18" s="126">
        <f t="shared" si="0"/>
        <v>10.302000000000003</v>
      </c>
      <c r="G18" s="135">
        <f>('Data Entry'!$F$16*$F18)-(G$10/(('Data Entry'!$C$9/100)*2200))*($E18)</f>
        <v>60.109304347826118</v>
      </c>
      <c r="H18" s="135">
        <f>('Data Entry'!$F$16*$F18)-(H$10/(('Data Entry'!$C$9/100)*2200))*($E18)</f>
        <v>57.144877470355759</v>
      </c>
      <c r="I18" s="135">
        <f>('Data Entry'!$F$16*$F18)-(I$10/(('Data Entry'!$C$9/100)*2200))*($E18)</f>
        <v>54.180450592885407</v>
      </c>
      <c r="J18" s="135">
        <f>('Data Entry'!$F$16*$F18)-(J$10/(('Data Entry'!$C$9/100)*2200))*($E18)</f>
        <v>51.216023715415048</v>
      </c>
      <c r="K18" s="135">
        <f>('Data Entry'!$F$16*$F18)-(K$10/(('Data Entry'!$C$9/100)*2200))*($E18)</f>
        <v>48.251596837944696</v>
      </c>
      <c r="L18" s="135">
        <f>('Data Entry'!$F$16*$F18)-(L$10/(('Data Entry'!$C$9/100)*2200))*($E18)</f>
        <v>45.287169960474344</v>
      </c>
      <c r="M18" s="136">
        <f>('Data Entry'!$F$16*$F18)-(M$10/(('Data Entry'!$C$9/100)*2200))*($E18)</f>
        <v>42.322743083003985</v>
      </c>
    </row>
    <row r="19" spans="1:19" ht="15.75" thickBot="1" x14ac:dyDescent="0.3">
      <c r="A19" s="16"/>
      <c r="B19" s="54"/>
      <c r="C19" s="48"/>
      <c r="D19" s="49" t="s">
        <v>13</v>
      </c>
      <c r="E19" s="50">
        <f>'Data Entry'!F11</f>
        <v>70</v>
      </c>
      <c r="F19" s="192">
        <f t="shared" si="0"/>
        <v>11.388999999999999</v>
      </c>
      <c r="G19" s="135">
        <f>('Data Entry'!$F$16*$F19)-(G$10/(('Data Entry'!$C$9/100)*2200))*($E19)</f>
        <v>64.457521739130428</v>
      </c>
      <c r="H19" s="135">
        <f>('Data Entry'!$F$16*$F19)-(H$10/(('Data Entry'!$C$9/100)*2200))*($E19)</f>
        <v>60.999023715415007</v>
      </c>
      <c r="I19" s="135">
        <f>('Data Entry'!$F$16*$F19)-(I$10/(('Data Entry'!$C$9/100)*2200))*($E19)</f>
        <v>57.5405256916996</v>
      </c>
      <c r="J19" s="135">
        <f>('Data Entry'!$F$16*$F19)-(J$10/(('Data Entry'!$C$9/100)*2200))*($E19)</f>
        <v>54.082027667984178</v>
      </c>
      <c r="K19" s="135">
        <f>('Data Entry'!$F$16*$F19)-(K$10/(('Data Entry'!$C$9/100)*2200))*($E19)</f>
        <v>50.623529644268764</v>
      </c>
      <c r="L19" s="135">
        <f>('Data Entry'!$F$16*$F19)-(L$10/(('Data Entry'!$C$9/100)*2200))*($E19)</f>
        <v>47.16503162055335</v>
      </c>
      <c r="M19" s="136">
        <f>('Data Entry'!$F$16*$F19)-(M$10/(('Data Entry'!$C$9/100)*2200))*($E19)</f>
        <v>43.706533596837936</v>
      </c>
    </row>
    <row r="20" spans="1:19" ht="15" x14ac:dyDescent="0.25">
      <c r="A20" s="16"/>
      <c r="B20" s="17"/>
      <c r="C20" s="18"/>
      <c r="D20" s="18"/>
      <c r="E20" s="194">
        <f>E19+C10</f>
        <v>80</v>
      </c>
      <c r="F20" s="126">
        <f t="shared" si="0"/>
        <v>12.295999999999999</v>
      </c>
      <c r="G20" s="135">
        <f>('Data Entry'!$F$16*$F20)-(G$10/(('Data Entry'!$C$9/100)*2200))*($E20)</f>
        <v>67.185739130434769</v>
      </c>
      <c r="H20" s="135">
        <f>('Data Entry'!$F$16*$F20)-(H$10/(('Data Entry'!$C$9/100)*2200))*($E20)</f>
        <v>63.233169960474292</v>
      </c>
      <c r="I20" s="135">
        <f>('Data Entry'!$F$16*$F20)-(I$10/(('Data Entry'!$C$9/100)*2200))*($E20)</f>
        <v>59.280600790513823</v>
      </c>
      <c r="J20" s="135">
        <f>('Data Entry'!$F$16*$F20)-(J$10/(('Data Entry'!$C$9/100)*2200))*($E20)</f>
        <v>55.328031620553347</v>
      </c>
      <c r="K20" s="135">
        <f>('Data Entry'!$F$16*$F20)-(K$10/(('Data Entry'!$C$9/100)*2200))*($E20)</f>
        <v>51.37546245059287</v>
      </c>
      <c r="L20" s="135">
        <f>('Data Entry'!$F$16*$F20)-(L$10/(('Data Entry'!$C$9/100)*2200))*($E20)</f>
        <v>47.422893280632401</v>
      </c>
      <c r="M20" s="136">
        <f>('Data Entry'!$F$16*$F20)-(M$10/(('Data Entry'!$C$9/100)*2200))*($E20)</f>
        <v>43.470324110671925</v>
      </c>
    </row>
    <row r="21" spans="1:19" ht="15" x14ac:dyDescent="0.25">
      <c r="A21" s="16"/>
      <c r="B21" s="17"/>
      <c r="C21" s="18"/>
      <c r="D21" s="18"/>
      <c r="E21" s="190">
        <f>E19+2*C10</f>
        <v>90</v>
      </c>
      <c r="F21" s="126">
        <f t="shared" si="0"/>
        <v>13.023</v>
      </c>
      <c r="G21" s="135">
        <f>('Data Entry'!$F$16*$F21)-(G$10/(('Data Entry'!$C$9/100)*2200))*($E21)</f>
        <v>68.293956521739119</v>
      </c>
      <c r="H21" s="135">
        <f>('Data Entry'!$F$16*$F21)-(H$10/(('Data Entry'!$C$9/100)*2200))*($E21)</f>
        <v>63.847316205533588</v>
      </c>
      <c r="I21" s="135">
        <f>('Data Entry'!$F$16*$F21)-(I$10/(('Data Entry'!$C$9/100)*2200))*($E21)</f>
        <v>59.400675889328063</v>
      </c>
      <c r="J21" s="135">
        <f>('Data Entry'!$F$16*$F21)-(J$10/(('Data Entry'!$C$9/100)*2200))*($E21)</f>
        <v>54.954035573122525</v>
      </c>
      <c r="K21" s="135">
        <f>('Data Entry'!$F$16*$F21)-(K$10/(('Data Entry'!$C$9/100)*2200))*($E21)</f>
        <v>50.507395256916979</v>
      </c>
      <c r="L21" s="135">
        <f>('Data Entry'!$F$16*$F21)-(L$10/(('Data Entry'!$C$9/100)*2200))*($E21)</f>
        <v>46.060754940711462</v>
      </c>
      <c r="M21" s="136">
        <f>('Data Entry'!$F$16*$F21)-(M$10/(('Data Entry'!$C$9/100)*2200))*($E21)</f>
        <v>41.614114624505916</v>
      </c>
    </row>
    <row r="22" spans="1:19" ht="15" x14ac:dyDescent="0.25">
      <c r="A22" s="16"/>
      <c r="B22" s="17"/>
      <c r="C22" s="18"/>
      <c r="D22" s="18"/>
      <c r="E22" s="190">
        <f>E19+3*C10</f>
        <v>100</v>
      </c>
      <c r="F22" s="126">
        <f t="shared" si="0"/>
        <v>13.569999999999997</v>
      </c>
      <c r="G22" s="135">
        <f>('Data Entry'!$F$16*$F22)-(G$10/(('Data Entry'!$C$9/100)*2200))*($E22)</f>
        <v>67.782173913043451</v>
      </c>
      <c r="H22" s="135">
        <f>('Data Entry'!$F$16*$F22)-(H$10/(('Data Entry'!$C$9/100)*2200))*($E22)</f>
        <v>62.84146245059285</v>
      </c>
      <c r="I22" s="135">
        <f>('Data Entry'!$F$16*$F22)-(I$10/(('Data Entry'!$C$9/100)*2200))*($E22)</f>
        <v>57.900750988142264</v>
      </c>
      <c r="J22" s="135">
        <f>('Data Entry'!$F$16*$F22)-(J$10/(('Data Entry'!$C$9/100)*2200))*($E22)</f>
        <v>52.96003952569167</v>
      </c>
      <c r="K22" s="135">
        <f>('Data Entry'!$F$16*$F22)-(K$10/(('Data Entry'!$C$9/100)*2200))*($E22)</f>
        <v>48.019328063241062</v>
      </c>
      <c r="L22" s="135">
        <f>('Data Entry'!$F$16*$F22)-(L$10/(('Data Entry'!$C$9/100)*2200))*($E22)</f>
        <v>43.078616600790482</v>
      </c>
      <c r="M22" s="136">
        <f>('Data Entry'!$F$16*$F22)-(M$10/(('Data Entry'!$C$9/100)*2200))*($E22)</f>
        <v>38.137905138339889</v>
      </c>
    </row>
    <row r="23" spans="1:19" ht="15" x14ac:dyDescent="0.25">
      <c r="A23" s="16"/>
      <c r="B23" s="17"/>
      <c r="C23" s="18"/>
      <c r="D23" s="18"/>
      <c r="E23" s="190">
        <f>E19+4*C10</f>
        <v>110</v>
      </c>
      <c r="F23" s="126">
        <f t="shared" si="0"/>
        <v>13.937000000000001</v>
      </c>
      <c r="G23" s="135">
        <f>('Data Entry'!$F$16*$F23)-(G$10/(('Data Entry'!$C$9/100)*2200))*($E23)</f>
        <v>65.650391304347835</v>
      </c>
      <c r="H23" s="135">
        <f>('Data Entry'!$F$16*$F23)-(H$10/(('Data Entry'!$C$9/100)*2200))*($E23)</f>
        <v>60.215608695652179</v>
      </c>
      <c r="I23" s="135">
        <f>('Data Entry'!$F$16*$F23)-(I$10/(('Data Entry'!$C$9/100)*2200))*($E23)</f>
        <v>54.780826086956537</v>
      </c>
      <c r="J23" s="135">
        <f>('Data Entry'!$F$16*$F23)-(J$10/(('Data Entry'!$C$9/100)*2200))*($E23)</f>
        <v>49.346043478260881</v>
      </c>
      <c r="K23" s="135">
        <f>('Data Entry'!$F$16*$F23)-(K$10/(('Data Entry'!$C$9/100)*2200))*($E23)</f>
        <v>43.911260869565226</v>
      </c>
      <c r="L23" s="135">
        <f>('Data Entry'!$F$16*$F23)-(L$10/(('Data Entry'!$C$9/100)*2200))*($E23)</f>
        <v>38.47647826086957</v>
      </c>
      <c r="M23" s="136">
        <f>('Data Entry'!$F$16*$F23)-(M$10/(('Data Entry'!$C$9/100)*2200))*($E23)</f>
        <v>33.041695652173914</v>
      </c>
    </row>
    <row r="24" spans="1:19" ht="13.5" customHeight="1" x14ac:dyDescent="0.2">
      <c r="A24" s="16"/>
      <c r="B24" s="17"/>
      <c r="C24" s="18"/>
      <c r="D24" s="18"/>
      <c r="E24" s="266" t="s">
        <v>66</v>
      </c>
      <c r="F24" s="267"/>
      <c r="G24" s="272"/>
      <c r="H24" s="272"/>
      <c r="I24" s="272"/>
      <c r="J24" s="272"/>
      <c r="K24" s="272"/>
      <c r="L24" s="272"/>
      <c r="M24" s="273"/>
    </row>
    <row r="25" spans="1:19" ht="9.75" customHeight="1" x14ac:dyDescent="0.2">
      <c r="A25" s="16"/>
      <c r="B25" s="17"/>
      <c r="C25" s="18"/>
      <c r="D25" s="18"/>
      <c r="E25" s="266" t="s">
        <v>16</v>
      </c>
      <c r="F25" s="267"/>
      <c r="G25" s="267"/>
      <c r="H25" s="267"/>
      <c r="I25" s="267"/>
      <c r="J25" s="267"/>
      <c r="K25" s="267"/>
      <c r="L25" s="267"/>
      <c r="M25" s="268"/>
    </row>
    <row r="26" spans="1:19" ht="9.75" customHeight="1" x14ac:dyDescent="0.2">
      <c r="A26" s="16"/>
      <c r="B26" s="17"/>
      <c r="C26" s="18"/>
      <c r="D26" s="18"/>
      <c r="E26" s="266" t="s">
        <v>27</v>
      </c>
      <c r="F26" s="267"/>
      <c r="G26" s="267"/>
      <c r="H26" s="267"/>
      <c r="I26" s="267"/>
      <c r="J26" s="267"/>
      <c r="K26" s="267"/>
      <c r="L26" s="267"/>
      <c r="M26" s="268"/>
    </row>
    <row r="27" spans="1:19" ht="11.25" customHeight="1" x14ac:dyDescent="0.2">
      <c r="A27" s="16"/>
      <c r="B27" s="17"/>
      <c r="C27" s="18"/>
      <c r="D27" s="18"/>
      <c r="E27" s="262" t="s">
        <v>88</v>
      </c>
      <c r="F27" s="287"/>
      <c r="G27" s="287"/>
      <c r="H27" s="287"/>
      <c r="I27" s="287"/>
      <c r="J27" s="287"/>
      <c r="K27" s="287"/>
      <c r="L27" s="287"/>
      <c r="M27" s="246"/>
      <c r="N27" s="130"/>
      <c r="O27"/>
      <c r="P27"/>
      <c r="Q27"/>
      <c r="R27"/>
      <c r="S27"/>
    </row>
    <row r="28" spans="1:19" ht="12" customHeight="1" thickBot="1" x14ac:dyDescent="0.25">
      <c r="A28" s="16"/>
      <c r="B28" s="17"/>
      <c r="C28" s="18"/>
      <c r="D28" s="18"/>
      <c r="E28" s="277" t="s">
        <v>38</v>
      </c>
      <c r="F28" s="279"/>
      <c r="G28" s="279"/>
      <c r="H28" s="279"/>
      <c r="I28" s="279"/>
      <c r="J28" s="280"/>
      <c r="K28" s="280"/>
      <c r="L28" s="280"/>
      <c r="M28" s="281"/>
    </row>
    <row r="29" spans="1:19" ht="11.25" customHeight="1" x14ac:dyDescent="0.2">
      <c r="B29" s="17"/>
      <c r="E29" s="267"/>
      <c r="F29" s="267"/>
      <c r="G29" s="267"/>
      <c r="H29" s="267"/>
      <c r="I29" s="267"/>
      <c r="J29" s="267"/>
      <c r="K29" s="267"/>
      <c r="L29" s="267"/>
      <c r="M29" s="268"/>
    </row>
    <row r="30" spans="1:19" ht="9.75" customHeight="1" thickBot="1" x14ac:dyDescent="0.25">
      <c r="B30" s="252"/>
      <c r="C30" s="253"/>
      <c r="D30" s="253"/>
      <c r="E30" s="253"/>
      <c r="F30" s="253"/>
      <c r="G30" s="253"/>
      <c r="H30" s="253"/>
      <c r="I30" s="253"/>
      <c r="J30" s="55"/>
      <c r="K30" s="55"/>
      <c r="L30" s="55"/>
      <c r="M30" s="56"/>
    </row>
  </sheetData>
  <sheetProtection password="CE5A" sheet="1" objects="1" scenarios="1"/>
  <mergeCells count="16">
    <mergeCell ref="E28:M28"/>
    <mergeCell ref="E29:M29"/>
    <mergeCell ref="B30:I30"/>
    <mergeCell ref="E25:M25"/>
    <mergeCell ref="E26:M26"/>
    <mergeCell ref="H8:L8"/>
    <mergeCell ref="G12:M12"/>
    <mergeCell ref="G13:M13"/>
    <mergeCell ref="E27:M27"/>
    <mergeCell ref="B2:M2"/>
    <mergeCell ref="B3:M3"/>
    <mergeCell ref="B7:C7"/>
    <mergeCell ref="E24:M24"/>
    <mergeCell ref="K5:M5"/>
    <mergeCell ref="G5:J5"/>
    <mergeCell ref="D5:F5"/>
  </mergeCells>
  <phoneticPr fontId="15" type="noConversion"/>
  <conditionalFormatting sqref="J15:J23">
    <cfRule type="cellIs" dxfId="41" priority="1" stopIfTrue="1" operator="between">
      <formula>MAX($J$15:$J$23)-0.5</formula>
      <formula>MAX($J$15:$J$23)+0.5</formula>
    </cfRule>
    <cfRule type="cellIs" dxfId="40" priority="2" stopIfTrue="1" operator="between">
      <formula>MAX($J$15:$J$23)-0.5</formula>
      <formula>MAX($J$15:$J$23)-1.5</formula>
    </cfRule>
    <cfRule type="cellIs" dxfId="39" priority="3" stopIfTrue="1" operator="between">
      <formula>MAX($J$15:$J$23)+0.5</formula>
      <formula>MAX($J$15:$J$23)+1.5</formula>
    </cfRule>
  </conditionalFormatting>
  <conditionalFormatting sqref="K15:K23">
    <cfRule type="cellIs" dxfId="38" priority="4" stopIfTrue="1" operator="between">
      <formula>MAX($K$15:$K$23)-0.5</formula>
      <formula>MAX($K$15:$K$23)+0.5</formula>
    </cfRule>
    <cfRule type="cellIs" dxfId="37" priority="5" stopIfTrue="1" operator="between">
      <formula>MAX($K$15:$K$23)-0.5</formula>
      <formula>MAX($K$15:$K$23)-1.5</formula>
    </cfRule>
    <cfRule type="cellIs" dxfId="36" priority="6" stopIfTrue="1" operator="between">
      <formula>MAX($K$15:$K$23)+0.5</formula>
      <formula>MAX($K$15:$K$23)+1.5</formula>
    </cfRule>
  </conditionalFormatting>
  <conditionalFormatting sqref="G15:G23">
    <cfRule type="cellIs" dxfId="35" priority="7" stopIfTrue="1" operator="between">
      <formula>MAX($G$15:$G$23)-0.5</formula>
      <formula>MAX($G$15:$G$23)+0.5</formula>
    </cfRule>
    <cfRule type="cellIs" dxfId="34" priority="8" stopIfTrue="1" operator="between">
      <formula>MAX($G$15:$G$23)-0.5</formula>
      <formula>MAX($G$15:$G$23)-1.5</formula>
    </cfRule>
    <cfRule type="cellIs" dxfId="33" priority="9" stopIfTrue="1" operator="between">
      <formula>MAX($G$15:$G$23)+0.5</formula>
      <formula>MAX($G$15:$G$23)+1.5</formula>
    </cfRule>
  </conditionalFormatting>
  <conditionalFormatting sqref="H15:H23">
    <cfRule type="cellIs" dxfId="32" priority="10" stopIfTrue="1" operator="between">
      <formula>MAX($H$15:$H$23)-0.5</formula>
      <formula>MAX($H$15:$H$23)+0.5</formula>
    </cfRule>
    <cfRule type="cellIs" dxfId="31" priority="11" stopIfTrue="1" operator="between">
      <formula>MAX($H$15:$H$23)-0.5</formula>
      <formula>MAX($H$15:$H$23)-1.5</formula>
    </cfRule>
    <cfRule type="cellIs" dxfId="30" priority="12" stopIfTrue="1" operator="between">
      <formula>MAX($H$15:$H$23)+0.5</formula>
      <formula>MAX($H$15:$HG$23)+1.5</formula>
    </cfRule>
  </conditionalFormatting>
  <conditionalFormatting sqref="L15:L23">
    <cfRule type="cellIs" dxfId="29" priority="13" stopIfTrue="1" operator="between">
      <formula>MAX($L$15:$L$23)-0.5</formula>
      <formula>MAX($L$15:$L$23)+0.5</formula>
    </cfRule>
    <cfRule type="cellIs" dxfId="28" priority="14" stopIfTrue="1" operator="between">
      <formula>MAX($L$15:$L$23)-0.5</formula>
      <formula>MAX($L$15:$L$23)-1.5</formula>
    </cfRule>
    <cfRule type="cellIs" dxfId="27" priority="15" stopIfTrue="1" operator="between">
      <formula>MAX($L$15:$L$23)+0.5</formula>
      <formula>MAX($L$15:$L$23)+1.5</formula>
    </cfRule>
  </conditionalFormatting>
  <conditionalFormatting sqref="M15:M23">
    <cfRule type="cellIs" dxfId="26" priority="16" stopIfTrue="1" operator="between">
      <formula>MAX($M$15:$M$23)-0.5</formula>
      <formula>MAX($M$15:$M$23)+0.5</formula>
    </cfRule>
    <cfRule type="cellIs" dxfId="25" priority="17" stopIfTrue="1" operator="between">
      <formula>MAX($M$15:$M$23)-0.5</formula>
      <formula>MAX($M$15:$M$23)-1.5</formula>
    </cfRule>
    <cfRule type="cellIs" dxfId="24" priority="18" stopIfTrue="1" operator="between">
      <formula>MAX($M$15:$M$23)+0.5</formula>
      <formula>MAX($M$15:$M$23)+1.5</formula>
    </cfRule>
  </conditionalFormatting>
  <conditionalFormatting sqref="I15:I23">
    <cfRule type="cellIs" dxfId="23" priority="19" stopIfTrue="1" operator="between">
      <formula>MAX($I$15:$I$23)-0.5</formula>
      <formula>MAX($I$15:$I$23+0.5)</formula>
    </cfRule>
    <cfRule type="cellIs" dxfId="22" priority="20" stopIfTrue="1" operator="between">
      <formula>MAX($I$15:$I$23)-0.5</formula>
      <formula>MAX($I$15:$I$23)-1.5</formula>
    </cfRule>
    <cfRule type="cellIs" dxfId="21" priority="21" stopIfTrue="1" operator="between">
      <formula>MAX($I$15:$I$23)+0.5</formula>
      <formula>MAX($I$15:$I$23)+1.5</formula>
    </cfRule>
  </conditionalFormatting>
  <hyperlinks>
    <hyperlink ref="D5" location="'Canola Crop'!A1" display="Return to Canola Crop as variable"/>
    <hyperlink ref="G5" location="'Canola MR'!A1" display="Go to Marginal Return Chart"/>
    <hyperlink ref="K5" location="'Data Entry'!A1" display="Return to Data Entry"/>
  </hyperlinks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showGridLines="0" workbookViewId="0">
      <selection activeCell="K5" sqref="K5:M5"/>
    </sheetView>
  </sheetViews>
  <sheetFormatPr defaultRowHeight="12.75" x14ac:dyDescent="0.2"/>
  <cols>
    <col min="1" max="1" width="1.5703125" style="10" customWidth="1"/>
    <col min="2" max="2" width="16.5703125" style="10" customWidth="1"/>
    <col min="3" max="5" width="9.140625" style="10"/>
    <col min="6" max="6" width="16.85546875" style="10" customWidth="1"/>
    <col min="7" max="13" width="9.140625" style="10"/>
    <col min="14" max="14" width="25.85546875" style="10" customWidth="1"/>
    <col min="15" max="16384" width="9.140625" style="10"/>
  </cols>
  <sheetData>
    <row r="1" spans="1:14" ht="6" customHeight="1" thickBot="1" x14ac:dyDescent="0.25">
      <c r="B1" s="11"/>
      <c r="C1" s="11"/>
      <c r="D1" s="11"/>
      <c r="E1" s="11"/>
      <c r="F1" s="11"/>
      <c r="G1" s="11"/>
      <c r="H1" s="11"/>
      <c r="I1" s="11"/>
    </row>
    <row r="2" spans="1:14" ht="20.25" x14ac:dyDescent="0.3">
      <c r="A2" s="11"/>
      <c r="B2" s="234" t="s">
        <v>40</v>
      </c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6"/>
    </row>
    <row r="3" spans="1:14" ht="20.25" x14ac:dyDescent="0.3">
      <c r="A3" s="11"/>
      <c r="B3" s="237" t="s">
        <v>65</v>
      </c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9"/>
    </row>
    <row r="4" spans="1:14" ht="6.75" customHeight="1" x14ac:dyDescent="0.3">
      <c r="A4" s="11"/>
      <c r="B4" s="13"/>
      <c r="C4" s="14"/>
      <c r="D4" s="14"/>
      <c r="E4" s="14"/>
      <c r="F4" s="14"/>
      <c r="H4" s="14"/>
      <c r="I4" s="14"/>
      <c r="J4" s="12"/>
      <c r="K4" s="12"/>
      <c r="L4" s="12"/>
      <c r="M4" s="15"/>
      <c r="N4" s="158"/>
    </row>
    <row r="5" spans="1:14" x14ac:dyDescent="0.2">
      <c r="B5" s="198"/>
      <c r="C5" s="199"/>
      <c r="D5" s="282" t="s">
        <v>84</v>
      </c>
      <c r="E5" s="283"/>
      <c r="F5" s="283"/>
      <c r="G5" s="160" t="s">
        <v>69</v>
      </c>
      <c r="I5" s="12"/>
      <c r="J5" s="12"/>
      <c r="K5" s="245" t="s">
        <v>96</v>
      </c>
      <c r="L5" s="244"/>
      <c r="M5" s="246"/>
    </row>
    <row r="6" spans="1:14" ht="4.5" customHeight="1" thickBot="1" x14ac:dyDescent="0.25">
      <c r="A6" s="16"/>
      <c r="B6" s="17"/>
      <c r="C6" s="18"/>
      <c r="D6" s="18"/>
      <c r="E6" s="18"/>
      <c r="F6" s="18"/>
      <c r="G6" s="18"/>
      <c r="H6" s="18"/>
      <c r="I6" s="18"/>
      <c r="J6" s="12"/>
      <c r="K6" s="12"/>
      <c r="L6" s="12"/>
      <c r="M6" s="15"/>
      <c r="N6" s="158"/>
    </row>
    <row r="7" spans="1:14" ht="15.75" customHeight="1" thickBot="1" x14ac:dyDescent="0.3">
      <c r="A7" s="16"/>
      <c r="B7" s="240" t="s">
        <v>61</v>
      </c>
      <c r="C7" s="241"/>
      <c r="D7" s="18"/>
      <c r="E7" s="18"/>
      <c r="F7" s="18"/>
      <c r="G7" s="18"/>
      <c r="H7" s="19"/>
      <c r="I7" s="18"/>
      <c r="J7" s="19"/>
      <c r="K7" s="12"/>
      <c r="L7" s="12"/>
      <c r="M7" s="15"/>
    </row>
    <row r="8" spans="1:14" ht="15" customHeight="1" x14ac:dyDescent="0.25">
      <c r="A8" s="16"/>
      <c r="B8" s="87" t="s">
        <v>58</v>
      </c>
      <c r="C8" s="21" t="s">
        <v>64</v>
      </c>
      <c r="D8" s="18"/>
      <c r="E8" s="22"/>
      <c r="F8" s="23"/>
      <c r="G8" s="23"/>
      <c r="H8" s="242" t="s">
        <v>63</v>
      </c>
      <c r="I8" s="243"/>
      <c r="J8" s="243"/>
      <c r="K8" s="243"/>
      <c r="L8" s="243"/>
      <c r="M8" s="24"/>
    </row>
    <row r="9" spans="1:14" ht="15" x14ac:dyDescent="0.2">
      <c r="A9" s="16"/>
      <c r="B9" s="20" t="s">
        <v>60</v>
      </c>
      <c r="C9" s="83">
        <f>'Data Entry'!F16</f>
        <v>9</v>
      </c>
      <c r="D9" s="18"/>
      <c r="E9" s="17"/>
      <c r="F9" s="18"/>
      <c r="G9" s="18"/>
      <c r="H9" s="19"/>
      <c r="I9" s="18"/>
      <c r="J9" s="19"/>
      <c r="K9" s="12"/>
      <c r="L9" s="12"/>
      <c r="M9" s="15"/>
    </row>
    <row r="10" spans="1:14" ht="15" x14ac:dyDescent="0.25">
      <c r="A10" s="16"/>
      <c r="B10" s="30" t="s">
        <v>20</v>
      </c>
      <c r="C10" s="106">
        <f>'Data Entry'!C11</f>
        <v>10</v>
      </c>
      <c r="D10" s="18"/>
      <c r="E10" s="17"/>
      <c r="F10" s="18"/>
      <c r="G10" s="108">
        <f>H10-$C$12</f>
        <v>550</v>
      </c>
      <c r="H10" s="108">
        <f>I10-$C$12</f>
        <v>600</v>
      </c>
      <c r="I10" s="108">
        <f>J10-$C$12</f>
        <v>650</v>
      </c>
      <c r="J10" s="109">
        <f>'Data Entry'!C8</f>
        <v>700</v>
      </c>
      <c r="K10" s="108">
        <f>J10+$C$12</f>
        <v>750</v>
      </c>
      <c r="L10" s="108">
        <f>K10+$C$12</f>
        <v>800</v>
      </c>
      <c r="M10" s="110">
        <f>L10+$C$12</f>
        <v>850</v>
      </c>
    </row>
    <row r="11" spans="1:14" ht="15" x14ac:dyDescent="0.25">
      <c r="A11" s="16"/>
      <c r="B11" s="33" t="s">
        <v>106</v>
      </c>
      <c r="C11" s="46"/>
      <c r="D11" s="18"/>
      <c r="E11" s="17"/>
      <c r="F11" s="29" t="s">
        <v>6</v>
      </c>
      <c r="G11" s="18"/>
      <c r="H11" s="18"/>
      <c r="I11" s="18"/>
      <c r="J11" s="12"/>
      <c r="K11" s="12"/>
      <c r="L11" s="12"/>
      <c r="M11" s="15"/>
    </row>
    <row r="12" spans="1:14" ht="15" x14ac:dyDescent="0.25">
      <c r="A12" s="16"/>
      <c r="B12" s="37" t="s">
        <v>56</v>
      </c>
      <c r="C12" s="61">
        <f>'Data Entry'!C17</f>
        <v>50</v>
      </c>
      <c r="D12" s="18"/>
      <c r="E12" s="32"/>
      <c r="F12" s="29" t="s">
        <v>7</v>
      </c>
      <c r="G12" s="269" t="s">
        <v>8</v>
      </c>
      <c r="H12" s="269"/>
      <c r="I12" s="269"/>
      <c r="J12" s="269"/>
      <c r="K12" s="269"/>
      <c r="L12" s="269"/>
      <c r="M12" s="270"/>
    </row>
    <row r="13" spans="1:14" ht="15.75" thickBot="1" x14ac:dyDescent="0.3">
      <c r="A13" s="16"/>
      <c r="B13" s="43" t="s">
        <v>28</v>
      </c>
      <c r="C13" s="46"/>
      <c r="D13" s="18"/>
      <c r="E13" s="35" t="s">
        <v>9</v>
      </c>
      <c r="F13" s="36" t="s">
        <v>10</v>
      </c>
      <c r="G13" s="247" t="s">
        <v>15</v>
      </c>
      <c r="H13" s="247"/>
      <c r="I13" s="247"/>
      <c r="J13" s="247"/>
      <c r="K13" s="247"/>
      <c r="L13" s="247"/>
      <c r="M13" s="248"/>
    </row>
    <row r="14" spans="1:14" ht="15" x14ac:dyDescent="0.25">
      <c r="A14" s="16"/>
      <c r="B14" s="113" t="s">
        <v>29</v>
      </c>
      <c r="C14" s="107">
        <f>'Data Entry'!C15</f>
        <v>30</v>
      </c>
      <c r="D14" s="18"/>
      <c r="E14" s="39" t="s">
        <v>11</v>
      </c>
      <c r="F14" s="40" t="s">
        <v>12</v>
      </c>
      <c r="G14" s="111">
        <f>'Data Entry'!$F$16/(G$10/(('Data Entry'!$C$9/100)*2200))</f>
        <v>16.560000000000002</v>
      </c>
      <c r="H14" s="111">
        <f>'Data Entry'!$F$16/(H$10/(('Data Entry'!$C$9/100)*2200))</f>
        <v>15.18</v>
      </c>
      <c r="I14" s="111">
        <f>'Data Entry'!$F$16/(I$10/(('Data Entry'!$C$9/100)*2200))</f>
        <v>14.012307692307694</v>
      </c>
      <c r="J14" s="111">
        <f>'Data Entry'!$F$16/(J$10/(('Data Entry'!$C$9/100)*2200))</f>
        <v>13.011428571428571</v>
      </c>
      <c r="K14" s="111">
        <f>'Data Entry'!$F$16/(K$10/(('Data Entry'!$C$9/100)*2200))</f>
        <v>12.143999999999998</v>
      </c>
      <c r="L14" s="111">
        <f>'Data Entry'!$F$16/(L$10/(('Data Entry'!$C$9/100)*2200))</f>
        <v>11.385</v>
      </c>
      <c r="M14" s="112">
        <f>'Data Entry'!$F$16/(M$10/(('Data Entry'!$C$9/100)*2200))</f>
        <v>10.715294117647058</v>
      </c>
    </row>
    <row r="15" spans="1:14" ht="15" x14ac:dyDescent="0.25">
      <c r="A15" s="16"/>
      <c r="B15" s="43" t="s">
        <v>30</v>
      </c>
      <c r="C15" s="46"/>
      <c r="D15" s="18"/>
      <c r="E15" s="190">
        <f>IF((E19-4*$C$10)&lt;0,0,(E19-4*$C$10))</f>
        <v>60</v>
      </c>
      <c r="F15" s="126">
        <f>IF(((-0.0005*(E15+$C$14)^2+0.2317*(E15+$C$14))-(-0.0005*($C$14)^2+0.2317*($C$14)))&lt;0,0,(-0.0005*(E15+$C$14)^2+0.2317*(E15+$C$14))-(-0.0005*($C$14)^2+0.2317*($C$14)))</f>
        <v>10.301999999999998</v>
      </c>
      <c r="G15" s="135">
        <f>('Data Entry'!$F$16*$F15)-(G$10/(('Data Entry'!$C$9/100)*2200))*($E15)</f>
        <v>60.109304347826061</v>
      </c>
      <c r="H15" s="135">
        <f>('Data Entry'!$F$16*$F15)-(H$10/(('Data Entry'!$C$9/100)*2200))*($E15)</f>
        <v>57.144877470355702</v>
      </c>
      <c r="I15" s="135">
        <f>('Data Entry'!$F$16*$F15)-(I$10/(('Data Entry'!$C$9/100)*2200))*($E15)</f>
        <v>54.18045059288535</v>
      </c>
      <c r="J15" s="135">
        <f>('Data Entry'!$F$16*$F15)-(J$10/(('Data Entry'!$C$9/100)*2200))*($E15)</f>
        <v>51.216023715414991</v>
      </c>
      <c r="K15" s="135">
        <f>('Data Entry'!$F$16*$F15)-(K$10/(('Data Entry'!$C$9/100)*2200))*($E15)</f>
        <v>48.251596837944639</v>
      </c>
      <c r="L15" s="135">
        <f>('Data Entry'!$F$16*$F15)-(L$10/(('Data Entry'!$C$9/100)*2200))*($E15)</f>
        <v>45.287169960474287</v>
      </c>
      <c r="M15" s="136">
        <f>('Data Entry'!$F$16*$F15)-(M$10/(('Data Entry'!$C$9/100)*2200))*($E15)</f>
        <v>42.322743083003928</v>
      </c>
    </row>
    <row r="16" spans="1:14" ht="15" x14ac:dyDescent="0.25">
      <c r="A16" s="16"/>
      <c r="B16" s="54"/>
      <c r="D16" s="18"/>
      <c r="E16" s="190">
        <f>IF((E20-4*$C$10)&lt;0,0,(E20-4*$C$10))</f>
        <v>70</v>
      </c>
      <c r="F16" s="126">
        <f t="shared" ref="F16:F23" si="0">IF(((-0.0005*(E16+$C$14)^2+0.2317*(E16+$C$14))-(-0.0005*($C$14)^2+0.2317*($C$14)))&lt;0,0,(-0.0005*(E16+$C$14)^2+0.2317*(E16+$C$14))-(-0.0005*($C$14)^2+0.2317*($C$14)))</f>
        <v>11.668999999999999</v>
      </c>
      <c r="G16" s="135">
        <f>('Data Entry'!$F$16*$F16)-(G$10/(('Data Entry'!$C$9/100)*2200))*($E16)</f>
        <v>66.977521739130424</v>
      </c>
      <c r="H16" s="135">
        <f>('Data Entry'!$F$16*$F16)-(H$10/(('Data Entry'!$C$9/100)*2200))*($E16)</f>
        <v>63.519023715415003</v>
      </c>
      <c r="I16" s="135">
        <f>('Data Entry'!$F$16*$F16)-(I$10/(('Data Entry'!$C$9/100)*2200))*($E16)</f>
        <v>60.060525691699596</v>
      </c>
      <c r="J16" s="135">
        <f>('Data Entry'!$F$16*$F16)-(J$10/(('Data Entry'!$C$9/100)*2200))*($E16)</f>
        <v>56.602027667984174</v>
      </c>
      <c r="K16" s="135">
        <f>('Data Entry'!$F$16*$F16)-(K$10/(('Data Entry'!$C$9/100)*2200))*($E16)</f>
        <v>53.14352964426876</v>
      </c>
      <c r="L16" s="135">
        <f>('Data Entry'!$F$16*$F16)-(L$10/(('Data Entry'!$C$9/100)*2200))*($E16)</f>
        <v>49.685031620553346</v>
      </c>
      <c r="M16" s="136">
        <f>('Data Entry'!$F$16*$F16)-(M$10/(('Data Entry'!$C$9/100)*2200))*($E16)</f>
        <v>46.226533596837932</v>
      </c>
    </row>
    <row r="17" spans="1:19" ht="15" x14ac:dyDescent="0.25">
      <c r="A17" s="16"/>
      <c r="B17" s="54"/>
      <c r="D17" s="18"/>
      <c r="E17" s="190">
        <f>IF((E21-4*$C$10)&lt;0,0,(E21-4*$C$10))</f>
        <v>80</v>
      </c>
      <c r="F17" s="126">
        <f t="shared" si="0"/>
        <v>12.935999999999998</v>
      </c>
      <c r="G17" s="135">
        <f>('Data Entry'!$F$16*$F17)-(G$10/(('Data Entry'!$C$9/100)*2200))*($E17)</f>
        <v>72.94573913043476</v>
      </c>
      <c r="H17" s="135">
        <f>('Data Entry'!$F$16*$F17)-(H$10/(('Data Entry'!$C$9/100)*2200))*($E17)</f>
        <v>68.99316996047429</v>
      </c>
      <c r="I17" s="135">
        <f>('Data Entry'!$F$16*$F17)-(I$10/(('Data Entry'!$C$9/100)*2200))*($E17)</f>
        <v>65.040600790513821</v>
      </c>
      <c r="J17" s="135">
        <f>('Data Entry'!$F$16*$F17)-(J$10/(('Data Entry'!$C$9/100)*2200))*($E17)</f>
        <v>61.088031620553338</v>
      </c>
      <c r="K17" s="135">
        <f>('Data Entry'!$F$16*$F17)-(K$10/(('Data Entry'!$C$9/100)*2200))*($E17)</f>
        <v>57.135462450592861</v>
      </c>
      <c r="L17" s="135">
        <f>('Data Entry'!$F$16*$F17)-(L$10/(('Data Entry'!$C$9/100)*2200))*($E17)</f>
        <v>53.182893280632392</v>
      </c>
      <c r="M17" s="136">
        <f>('Data Entry'!$F$16*$F17)-(M$10/(('Data Entry'!$C$9/100)*2200))*($E17)</f>
        <v>49.230324110671916</v>
      </c>
    </row>
    <row r="18" spans="1:19" ht="15.75" thickBot="1" x14ac:dyDescent="0.3">
      <c r="A18" s="16"/>
      <c r="B18" s="17"/>
      <c r="C18" s="18"/>
      <c r="D18" s="18"/>
      <c r="E18" s="193">
        <f>IF((E22-4*$C$10)&lt;0,0,(E22-4*$C$10))</f>
        <v>90</v>
      </c>
      <c r="F18" s="126">
        <f t="shared" si="0"/>
        <v>14.103</v>
      </c>
      <c r="G18" s="135">
        <f>('Data Entry'!$F$16*$F18)-(G$10/(('Data Entry'!$C$9/100)*2200))*($E18)</f>
        <v>78.013956521739118</v>
      </c>
      <c r="H18" s="135">
        <f>('Data Entry'!$F$16*$F18)-(H$10/(('Data Entry'!$C$9/100)*2200))*($E18)</f>
        <v>73.567316205533587</v>
      </c>
      <c r="I18" s="135">
        <f>('Data Entry'!$F$16*$F18)-(I$10/(('Data Entry'!$C$9/100)*2200))*($E18)</f>
        <v>69.120675889328055</v>
      </c>
      <c r="J18" s="135">
        <f>('Data Entry'!$F$16*$F18)-(J$10/(('Data Entry'!$C$9/100)*2200))*($E18)</f>
        <v>64.674035573122524</v>
      </c>
      <c r="K18" s="135">
        <f>('Data Entry'!$F$16*$F18)-(K$10/(('Data Entry'!$C$9/100)*2200))*($E18)</f>
        <v>60.227395256916978</v>
      </c>
      <c r="L18" s="135">
        <f>('Data Entry'!$F$16*$F18)-(L$10/(('Data Entry'!$C$9/100)*2200))*($E18)</f>
        <v>55.780754940711461</v>
      </c>
      <c r="M18" s="136">
        <f>('Data Entry'!$F$16*$F18)-(M$10/(('Data Entry'!$C$9/100)*2200))*($E18)</f>
        <v>51.334114624505915</v>
      </c>
    </row>
    <row r="19" spans="1:19" ht="15.75" thickBot="1" x14ac:dyDescent="0.3">
      <c r="A19" s="16"/>
      <c r="B19" s="54"/>
      <c r="C19" s="48"/>
      <c r="D19" s="49" t="s">
        <v>13</v>
      </c>
      <c r="E19" s="50">
        <f>'Data Entry'!F12</f>
        <v>100</v>
      </c>
      <c r="F19" s="192">
        <f t="shared" si="0"/>
        <v>15.17</v>
      </c>
      <c r="G19" s="135">
        <f>('Data Entry'!$F$16*$F19)-(G$10/(('Data Entry'!$C$9/100)*2200))*($E19)</f>
        <v>82.182173913043485</v>
      </c>
      <c r="H19" s="135">
        <f>('Data Entry'!$F$16*$F19)-(H$10/(('Data Entry'!$C$9/100)*2200))*($E19)</f>
        <v>77.241462450592877</v>
      </c>
      <c r="I19" s="135">
        <f>('Data Entry'!$F$16*$F19)-(I$10/(('Data Entry'!$C$9/100)*2200))*($E19)</f>
        <v>72.300750988142298</v>
      </c>
      <c r="J19" s="135">
        <f>('Data Entry'!$F$16*$F19)-(J$10/(('Data Entry'!$C$9/100)*2200))*($E19)</f>
        <v>67.360039525691704</v>
      </c>
      <c r="K19" s="135">
        <f>('Data Entry'!$F$16*$F19)-(K$10/(('Data Entry'!$C$9/100)*2200))*($E19)</f>
        <v>62.419328063241096</v>
      </c>
      <c r="L19" s="135">
        <f>('Data Entry'!$F$16*$F19)-(L$10/(('Data Entry'!$C$9/100)*2200))*($E19)</f>
        <v>57.478616600790517</v>
      </c>
      <c r="M19" s="136">
        <f>('Data Entry'!$F$16*$F19)-(M$10/(('Data Entry'!$C$9/100)*2200))*($E19)</f>
        <v>52.537905138339923</v>
      </c>
    </row>
    <row r="20" spans="1:19" ht="15" x14ac:dyDescent="0.25">
      <c r="A20" s="16"/>
      <c r="B20" s="17"/>
      <c r="C20" s="18"/>
      <c r="D20" s="18"/>
      <c r="E20" s="194">
        <f>E19+C10</f>
        <v>110</v>
      </c>
      <c r="F20" s="126">
        <f t="shared" si="0"/>
        <v>16.136999999999993</v>
      </c>
      <c r="G20" s="135">
        <f>('Data Entry'!$F$16*$F20)-(G$10/(('Data Entry'!$C$9/100)*2200))*($E20)</f>
        <v>85.450391304347775</v>
      </c>
      <c r="H20" s="135">
        <f>('Data Entry'!$F$16*$F20)-(H$10/(('Data Entry'!$C$9/100)*2200))*($E20)</f>
        <v>80.015608695652119</v>
      </c>
      <c r="I20" s="135">
        <f>('Data Entry'!$F$16*$F20)-(I$10/(('Data Entry'!$C$9/100)*2200))*($E20)</f>
        <v>74.580826086956478</v>
      </c>
      <c r="J20" s="135">
        <f>('Data Entry'!$F$16*$F20)-(J$10/(('Data Entry'!$C$9/100)*2200))*($E20)</f>
        <v>69.146043478260822</v>
      </c>
      <c r="K20" s="135">
        <f>('Data Entry'!$F$16*$F20)-(K$10/(('Data Entry'!$C$9/100)*2200))*($E20)</f>
        <v>63.711260869565166</v>
      </c>
      <c r="L20" s="135">
        <f>('Data Entry'!$F$16*$F20)-(L$10/(('Data Entry'!$C$9/100)*2200))*($E20)</f>
        <v>58.27647826086951</v>
      </c>
      <c r="M20" s="136">
        <f>('Data Entry'!$F$16*$F20)-(M$10/(('Data Entry'!$C$9/100)*2200))*($E20)</f>
        <v>52.841695652173854</v>
      </c>
    </row>
    <row r="21" spans="1:19" ht="15" x14ac:dyDescent="0.25">
      <c r="A21" s="16"/>
      <c r="B21" s="17"/>
      <c r="C21" s="18"/>
      <c r="D21" s="18"/>
      <c r="E21" s="190">
        <f>E19+2*C10</f>
        <v>120</v>
      </c>
      <c r="F21" s="126">
        <f t="shared" si="0"/>
        <v>17.003999999999998</v>
      </c>
      <c r="G21" s="135">
        <f>('Data Entry'!$F$16*$F21)-(G$10/(('Data Entry'!$C$9/100)*2200))*($E21)</f>
        <v>87.818608695652145</v>
      </c>
      <c r="H21" s="135">
        <f>('Data Entry'!$F$16*$F21)-(H$10/(('Data Entry'!$C$9/100)*2200))*($E21)</f>
        <v>81.889754940711427</v>
      </c>
      <c r="I21" s="135">
        <f>('Data Entry'!$F$16*$F21)-(I$10/(('Data Entry'!$C$9/100)*2200))*($E21)</f>
        <v>75.960901185770723</v>
      </c>
      <c r="J21" s="135">
        <f>('Data Entry'!$F$16*$F21)-(J$10/(('Data Entry'!$C$9/100)*2200))*($E21)</f>
        <v>70.032047430830005</v>
      </c>
      <c r="K21" s="135">
        <f>('Data Entry'!$F$16*$F21)-(K$10/(('Data Entry'!$C$9/100)*2200))*($E21)</f>
        <v>64.103193675889301</v>
      </c>
      <c r="L21" s="135">
        <f>('Data Entry'!$F$16*$F21)-(L$10/(('Data Entry'!$C$9/100)*2200))*($E21)</f>
        <v>58.174339920948597</v>
      </c>
      <c r="M21" s="136">
        <f>('Data Entry'!$F$16*$F21)-(M$10/(('Data Entry'!$C$9/100)*2200))*($E21)</f>
        <v>52.245486166007879</v>
      </c>
    </row>
    <row r="22" spans="1:19" ht="15" x14ac:dyDescent="0.25">
      <c r="A22" s="16"/>
      <c r="B22" s="17"/>
      <c r="C22" s="18"/>
      <c r="D22" s="18"/>
      <c r="E22" s="190">
        <f>E19+3*C10</f>
        <v>130</v>
      </c>
      <c r="F22" s="126">
        <f t="shared" si="0"/>
        <v>17.770999999999994</v>
      </c>
      <c r="G22" s="135">
        <f>('Data Entry'!$F$16*$F22)-(G$10/(('Data Entry'!$C$9/100)*2200))*($E22)</f>
        <v>89.286826086956466</v>
      </c>
      <c r="H22" s="135">
        <f>('Data Entry'!$F$16*$F22)-(H$10/(('Data Entry'!$C$9/100)*2200))*($E22)</f>
        <v>82.863901185770686</v>
      </c>
      <c r="I22" s="135">
        <f>('Data Entry'!$F$16*$F22)-(I$10/(('Data Entry'!$C$9/100)*2200))*($E22)</f>
        <v>76.44097628458492</v>
      </c>
      <c r="J22" s="135">
        <f>('Data Entry'!$F$16*$F22)-(J$10/(('Data Entry'!$C$9/100)*2200))*($E22)</f>
        <v>70.01805138339914</v>
      </c>
      <c r="K22" s="135">
        <f>('Data Entry'!$F$16*$F22)-(K$10/(('Data Entry'!$C$9/100)*2200))*($E22)</f>
        <v>63.595126482213374</v>
      </c>
      <c r="L22" s="135">
        <f>('Data Entry'!$F$16*$F22)-(L$10/(('Data Entry'!$C$9/100)*2200))*($E22)</f>
        <v>57.172201581027608</v>
      </c>
      <c r="M22" s="136">
        <f>('Data Entry'!$F$16*$F22)-(M$10/(('Data Entry'!$C$9/100)*2200))*($E22)</f>
        <v>50.749276679841827</v>
      </c>
    </row>
    <row r="23" spans="1:19" ht="15" x14ac:dyDescent="0.25">
      <c r="A23" s="16"/>
      <c r="B23" s="17"/>
      <c r="C23" s="18"/>
      <c r="D23" s="18"/>
      <c r="E23" s="190">
        <f>E19+4*C10</f>
        <v>140</v>
      </c>
      <c r="F23" s="126">
        <f t="shared" si="0"/>
        <v>18.437999999999995</v>
      </c>
      <c r="G23" s="135">
        <f>('Data Entry'!$F$16*$F23)-(G$10/(('Data Entry'!$C$9/100)*2200))*($E23)</f>
        <v>89.855043478260825</v>
      </c>
      <c r="H23" s="135">
        <f>('Data Entry'!$F$16*$F23)-(H$10/(('Data Entry'!$C$9/100)*2200))*($E23)</f>
        <v>82.938047430829982</v>
      </c>
      <c r="I23" s="135">
        <f>('Data Entry'!$F$16*$F23)-(I$10/(('Data Entry'!$C$9/100)*2200))*($E23)</f>
        <v>76.021051383399168</v>
      </c>
      <c r="J23" s="135">
        <f>('Data Entry'!$F$16*$F23)-(J$10/(('Data Entry'!$C$9/100)*2200))*($E23)</f>
        <v>69.104055335968326</v>
      </c>
      <c r="K23" s="135">
        <f>('Data Entry'!$F$16*$F23)-(K$10/(('Data Entry'!$C$9/100)*2200))*($E23)</f>
        <v>62.187059288537498</v>
      </c>
      <c r="L23" s="135">
        <f>('Data Entry'!$F$16*$F23)-(L$10/(('Data Entry'!$C$9/100)*2200))*($E23)</f>
        <v>55.270063241106669</v>
      </c>
      <c r="M23" s="136">
        <f>('Data Entry'!$F$16*$F23)-(M$10/(('Data Entry'!$C$9/100)*2200))*($E23)</f>
        <v>48.353067193675841</v>
      </c>
    </row>
    <row r="24" spans="1:19" ht="11.25" customHeight="1" x14ac:dyDescent="0.2">
      <c r="A24" s="16"/>
      <c r="B24" s="17"/>
      <c r="C24" s="18"/>
      <c r="D24" s="18"/>
      <c r="E24" s="266" t="s">
        <v>66</v>
      </c>
      <c r="F24" s="267"/>
      <c r="G24" s="272"/>
      <c r="H24" s="272"/>
      <c r="I24" s="272"/>
      <c r="J24" s="272"/>
      <c r="K24" s="272"/>
      <c r="L24" s="272"/>
      <c r="M24" s="273"/>
    </row>
    <row r="25" spans="1:19" ht="11.25" customHeight="1" x14ac:dyDescent="0.2">
      <c r="A25" s="16"/>
      <c r="B25" s="17"/>
      <c r="C25" s="18"/>
      <c r="D25" s="18"/>
      <c r="E25" s="266" t="s">
        <v>16</v>
      </c>
      <c r="F25" s="267"/>
      <c r="G25" s="267"/>
      <c r="H25" s="267"/>
      <c r="I25" s="267"/>
      <c r="J25" s="267"/>
      <c r="K25" s="267"/>
      <c r="L25" s="267"/>
      <c r="M25" s="268"/>
    </row>
    <row r="26" spans="1:19" ht="11.25" customHeight="1" x14ac:dyDescent="0.2">
      <c r="A26" s="16"/>
      <c r="B26" s="17"/>
      <c r="C26" s="18"/>
      <c r="D26" s="18"/>
      <c r="E26" s="266" t="s">
        <v>25</v>
      </c>
      <c r="F26" s="267"/>
      <c r="G26" s="267"/>
      <c r="H26" s="267"/>
      <c r="I26" s="267"/>
      <c r="J26" s="267"/>
      <c r="K26" s="267"/>
      <c r="L26" s="267"/>
      <c r="M26" s="268"/>
    </row>
    <row r="27" spans="1:19" ht="11.25" customHeight="1" x14ac:dyDescent="0.2">
      <c r="A27" s="16"/>
      <c r="B27" s="17"/>
      <c r="C27" s="18"/>
      <c r="D27" s="18"/>
      <c r="E27" s="262" t="s">
        <v>88</v>
      </c>
      <c r="F27" s="287"/>
      <c r="G27" s="287"/>
      <c r="H27" s="287"/>
      <c r="I27" s="287"/>
      <c r="J27" s="287"/>
      <c r="K27" s="287"/>
      <c r="L27" s="287"/>
      <c r="M27" s="246"/>
      <c r="N27" s="130"/>
      <c r="O27"/>
      <c r="P27"/>
      <c r="Q27"/>
      <c r="R27"/>
      <c r="S27"/>
    </row>
    <row r="28" spans="1:19" ht="11.25" customHeight="1" thickBot="1" x14ac:dyDescent="0.25">
      <c r="A28" s="16"/>
      <c r="B28" s="17"/>
      <c r="C28" s="18"/>
      <c r="D28" s="18"/>
      <c r="E28" s="277" t="s">
        <v>38</v>
      </c>
      <c r="F28" s="279"/>
      <c r="G28" s="279"/>
      <c r="H28" s="279"/>
      <c r="I28" s="279"/>
      <c r="J28" s="280"/>
      <c r="K28" s="280"/>
      <c r="L28" s="280"/>
      <c r="M28" s="281"/>
    </row>
    <row r="29" spans="1:19" ht="11.25" customHeight="1" x14ac:dyDescent="0.2">
      <c r="B29" s="17"/>
      <c r="E29" s="267"/>
      <c r="F29" s="267"/>
      <c r="G29" s="267"/>
      <c r="H29" s="267"/>
      <c r="I29" s="267"/>
      <c r="J29" s="267"/>
      <c r="K29" s="267"/>
      <c r="L29" s="267"/>
      <c r="M29" s="268"/>
    </row>
    <row r="30" spans="1:19" ht="10.5" customHeight="1" thickBot="1" x14ac:dyDescent="0.25">
      <c r="B30" s="252"/>
      <c r="C30" s="253"/>
      <c r="D30" s="253"/>
      <c r="E30" s="253"/>
      <c r="F30" s="253"/>
      <c r="G30" s="253"/>
      <c r="H30" s="253"/>
      <c r="I30" s="253"/>
      <c r="J30" s="55"/>
      <c r="K30" s="55"/>
      <c r="L30" s="55"/>
      <c r="M30" s="56"/>
    </row>
    <row r="31" spans="1:19" ht="14.25" customHeight="1" x14ac:dyDescent="0.2"/>
    <row r="32" spans="1:19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</sheetData>
  <sheetProtection password="CE5A" sheet="1" objects="1" scenarios="1"/>
  <mergeCells count="15">
    <mergeCell ref="G12:M12"/>
    <mergeCell ref="E25:M25"/>
    <mergeCell ref="E26:M26"/>
    <mergeCell ref="G13:M13"/>
    <mergeCell ref="E24:M24"/>
    <mergeCell ref="B30:I30"/>
    <mergeCell ref="E28:M28"/>
    <mergeCell ref="E29:M29"/>
    <mergeCell ref="E27:M27"/>
    <mergeCell ref="B2:M2"/>
    <mergeCell ref="B3:M3"/>
    <mergeCell ref="B7:C7"/>
    <mergeCell ref="H8:L8"/>
    <mergeCell ref="K5:M5"/>
    <mergeCell ref="D5:F5"/>
  </mergeCells>
  <phoneticPr fontId="15" type="noConversion"/>
  <conditionalFormatting sqref="J15:J23">
    <cfRule type="cellIs" dxfId="20" priority="1" stopIfTrue="1" operator="between">
      <formula>MAX($J$15:$J$23)-0.5</formula>
      <formula>MAX($J$15:$J$23)+0.5</formula>
    </cfRule>
    <cfRule type="cellIs" dxfId="19" priority="2" stopIfTrue="1" operator="between">
      <formula>MAX($J$15:$J$23)-0.5</formula>
      <formula>MAX($J$15:$J$23)-1.5</formula>
    </cfRule>
    <cfRule type="cellIs" dxfId="18" priority="3" stopIfTrue="1" operator="between">
      <formula>MAX($J$15:$J$23)+0.5</formula>
      <formula>MAX($J$15:$J$23)+1.5</formula>
    </cfRule>
  </conditionalFormatting>
  <conditionalFormatting sqref="K15:K23">
    <cfRule type="cellIs" dxfId="17" priority="4" stopIfTrue="1" operator="between">
      <formula>MAX($K$15:$K$23)-0.5</formula>
      <formula>MAX($K$15:$K$23)+0.5</formula>
    </cfRule>
    <cfRule type="cellIs" dxfId="16" priority="5" stopIfTrue="1" operator="between">
      <formula>MAX($K$15:$K$23)-0.5</formula>
      <formula>MAX($K$15:$K$23)-1.5</formula>
    </cfRule>
    <cfRule type="cellIs" dxfId="15" priority="6" stopIfTrue="1" operator="between">
      <formula>MAX($K$15:$K$23)+0.5</formula>
      <formula>MAX($K$15:$K$23)+1.5</formula>
    </cfRule>
  </conditionalFormatting>
  <conditionalFormatting sqref="G15:G23">
    <cfRule type="cellIs" dxfId="14" priority="7" stopIfTrue="1" operator="between">
      <formula>MAX($G$15:$G$23)-0.5</formula>
      <formula>MAX($G$15:$G$23)+0.5</formula>
    </cfRule>
    <cfRule type="cellIs" dxfId="13" priority="8" stopIfTrue="1" operator="between">
      <formula>MAX($G$15:$G$23)-0.5</formula>
      <formula>MAX($G$15:$G$23)-1.5</formula>
    </cfRule>
    <cfRule type="cellIs" dxfId="12" priority="9" stopIfTrue="1" operator="between">
      <formula>MAX($G$15:$G$23)+0.5</formula>
      <formula>MAX($G$15:$G$23)+1.5</formula>
    </cfRule>
  </conditionalFormatting>
  <conditionalFormatting sqref="H15:H23">
    <cfRule type="cellIs" dxfId="11" priority="10" stopIfTrue="1" operator="between">
      <formula>MAX($H$15:$H$23)-0.5</formula>
      <formula>MAX($H$15:$H$23)+0.5</formula>
    </cfRule>
    <cfRule type="cellIs" dxfId="10" priority="11" stopIfTrue="1" operator="between">
      <formula>MAX($H$15:$H$23)-0.5</formula>
      <formula>MAX($H$15:$H$23)-1.5</formula>
    </cfRule>
    <cfRule type="cellIs" dxfId="9" priority="12" stopIfTrue="1" operator="between">
      <formula>MAX($H$15:$H$23)+0.5</formula>
      <formula>MAX($H$15:$HG$23)+1.5</formula>
    </cfRule>
  </conditionalFormatting>
  <conditionalFormatting sqref="L15:L23">
    <cfRule type="cellIs" dxfId="8" priority="13" stopIfTrue="1" operator="between">
      <formula>MAX($L$15:$L$23)-0.5</formula>
      <formula>MAX($L$15:$L$23)+0.5</formula>
    </cfRule>
    <cfRule type="cellIs" dxfId="7" priority="14" stopIfTrue="1" operator="between">
      <formula>MAX($L$15:$L$23)-0.5</formula>
      <formula>MAX($L$15:$L$23)-1.5</formula>
    </cfRule>
    <cfRule type="cellIs" dxfId="6" priority="15" stopIfTrue="1" operator="between">
      <formula>MAX($L$15:$L$23)+0.5</formula>
      <formula>MAX($L$15:$L$23)+1.5</formula>
    </cfRule>
  </conditionalFormatting>
  <conditionalFormatting sqref="M15:M23">
    <cfRule type="cellIs" dxfId="5" priority="16" stopIfTrue="1" operator="between">
      <formula>MAX($M$15:$M$23)-0.5</formula>
      <formula>MAX($M$15:$M$23)+0.5</formula>
    </cfRule>
    <cfRule type="cellIs" dxfId="4" priority="17" stopIfTrue="1" operator="between">
      <formula>MAX($M$15:$M$23)-0.5</formula>
      <formula>MAX($M$15:$M$23)-1.5</formula>
    </cfRule>
    <cfRule type="cellIs" dxfId="3" priority="18" stopIfTrue="1" operator="between">
      <formula>MAX($M$15:$M$23)+0.5</formula>
      <formula>MAX($M$15:$M$23)+1.5</formula>
    </cfRule>
  </conditionalFormatting>
  <conditionalFormatting sqref="I15:I23">
    <cfRule type="cellIs" dxfId="2" priority="19" stopIfTrue="1" operator="between">
      <formula>MAX($I$15:$I$23)-0.5</formula>
      <formula>MAX($I$15:$I$23+0.5)</formula>
    </cfRule>
    <cfRule type="cellIs" dxfId="1" priority="20" stopIfTrue="1" operator="between">
      <formula>MAX($I$15:$I$23)-0.5</formula>
      <formula>MAX($I$15:$I$23)-1.5</formula>
    </cfRule>
    <cfRule type="cellIs" dxfId="0" priority="21" stopIfTrue="1" operator="between">
      <formula>MAX($I$15:$I$23)+0.5</formula>
      <formula>MAX($I$15:$I$23)+1.5</formula>
    </cfRule>
  </conditionalFormatting>
  <hyperlinks>
    <hyperlink ref="D5" location="'Canola (hybrid) Crop'!A1" display="Return to Canola (hybrid) as variable"/>
    <hyperlink ref="G5" location="'Canola (hybrid) MR'!A1" display="Go to Marginal Return Chart"/>
    <hyperlink ref="K5" location="'Data Entry'!A1" display="Return to Data Entry"/>
  </hyperlinks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6"/>
  <sheetViews>
    <sheetView showGridLines="0" workbookViewId="0">
      <selection activeCell="F19" sqref="F19"/>
    </sheetView>
  </sheetViews>
  <sheetFormatPr defaultRowHeight="12.75" x14ac:dyDescent="0.2"/>
  <cols>
    <col min="1" max="1" width="1.5703125" style="10" customWidth="1"/>
    <col min="2" max="2" width="17.140625" style="10" customWidth="1"/>
    <col min="3" max="3" width="9.42578125" style="10" bestFit="1" customWidth="1"/>
    <col min="4" max="4" width="11.140625" style="10" customWidth="1"/>
    <col min="5" max="5" width="9.42578125" style="10" bestFit="1" customWidth="1"/>
    <col min="6" max="6" width="9.42578125" style="10" customWidth="1"/>
    <col min="7" max="7" width="13" style="10" customWidth="1"/>
    <col min="8" max="14" width="9.5703125" style="10" customWidth="1"/>
    <col min="15" max="15" width="16" style="154" customWidth="1"/>
    <col min="16" max="16" width="10.28515625" style="10" customWidth="1"/>
    <col min="17" max="16384" width="9.140625" style="10"/>
  </cols>
  <sheetData>
    <row r="1" spans="1:19" ht="6" customHeight="1" thickBot="1" x14ac:dyDescent="0.25">
      <c r="B1" s="11"/>
      <c r="C1" s="11"/>
      <c r="D1" s="11"/>
      <c r="E1" s="11"/>
      <c r="F1" s="11"/>
      <c r="G1" s="11"/>
      <c r="H1" s="11"/>
      <c r="I1" s="11"/>
      <c r="J1" s="11"/>
    </row>
    <row r="2" spans="1:19" ht="20.25" x14ac:dyDescent="0.3">
      <c r="A2" s="11"/>
      <c r="B2" s="234" t="s">
        <v>40</v>
      </c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6"/>
    </row>
    <row r="3" spans="1:19" ht="20.25" x14ac:dyDescent="0.3">
      <c r="A3" s="11"/>
      <c r="B3" s="237" t="s">
        <v>47</v>
      </c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9"/>
    </row>
    <row r="4" spans="1:19" ht="6.75" customHeight="1" x14ac:dyDescent="0.3">
      <c r="A4" s="11"/>
      <c r="B4" s="13"/>
      <c r="C4" s="14"/>
      <c r="D4" s="14"/>
      <c r="E4" s="14"/>
      <c r="F4" s="14"/>
      <c r="G4" s="14"/>
      <c r="H4" s="14"/>
      <c r="I4" s="14"/>
      <c r="J4" s="14"/>
      <c r="K4" s="12"/>
      <c r="L4" s="12"/>
      <c r="M4" s="12"/>
      <c r="N4" s="15"/>
      <c r="O4" s="155"/>
      <c r="P4" s="154"/>
      <c r="Q4" s="154"/>
    </row>
    <row r="5" spans="1:19" x14ac:dyDescent="0.2">
      <c r="B5" s="198"/>
      <c r="C5" s="199"/>
      <c r="D5" s="199"/>
      <c r="E5" s="233" t="s">
        <v>109</v>
      </c>
      <c r="F5" s="233"/>
      <c r="G5" s="233"/>
      <c r="H5" s="233" t="s">
        <v>119</v>
      </c>
      <c r="I5" s="233"/>
      <c r="J5" s="233"/>
      <c r="K5" s="244"/>
      <c r="L5" s="245" t="s">
        <v>96</v>
      </c>
      <c r="M5" s="244"/>
      <c r="N5" s="246"/>
    </row>
    <row r="6" spans="1:19" ht="4.5" customHeight="1" thickBot="1" x14ac:dyDescent="0.25">
      <c r="A6" s="16"/>
      <c r="B6" s="17"/>
      <c r="C6" s="18"/>
      <c r="D6" s="18"/>
      <c r="E6" s="18"/>
      <c r="F6" s="18"/>
      <c r="G6" s="18"/>
      <c r="H6" s="18"/>
      <c r="I6" s="18"/>
      <c r="J6" s="18"/>
      <c r="K6" s="12"/>
      <c r="L6" s="12"/>
      <c r="M6" s="12"/>
      <c r="N6" s="15"/>
      <c r="O6" s="155"/>
    </row>
    <row r="7" spans="1:19" ht="15.75" customHeight="1" thickBot="1" x14ac:dyDescent="0.3">
      <c r="A7" s="16"/>
      <c r="B7" s="240" t="s">
        <v>39</v>
      </c>
      <c r="C7" s="241"/>
      <c r="E7" s="18"/>
      <c r="F7" s="18"/>
      <c r="G7" s="18"/>
      <c r="H7" s="18"/>
      <c r="I7" s="19"/>
      <c r="J7" s="18"/>
      <c r="K7" s="19"/>
      <c r="L7" s="12"/>
      <c r="M7" s="12"/>
      <c r="N7" s="15"/>
      <c r="O7" s="155"/>
    </row>
    <row r="8" spans="1:19" ht="15" customHeight="1" x14ac:dyDescent="0.25">
      <c r="A8" s="16"/>
      <c r="B8" s="87" t="s">
        <v>1</v>
      </c>
      <c r="C8" s="21" t="str">
        <f>'Data Entry'!C7</f>
        <v>UREA</v>
      </c>
      <c r="D8" s="18"/>
      <c r="E8" s="62"/>
      <c r="F8" s="63"/>
      <c r="G8" s="231" t="s">
        <v>100</v>
      </c>
      <c r="H8" s="63"/>
      <c r="I8" s="242" t="s">
        <v>17</v>
      </c>
      <c r="J8" s="243"/>
      <c r="K8" s="243"/>
      <c r="L8" s="243"/>
      <c r="M8" s="243"/>
      <c r="N8" s="64"/>
      <c r="O8" s="155"/>
    </row>
    <row r="9" spans="1:19" ht="15" x14ac:dyDescent="0.2">
      <c r="A9" s="16"/>
      <c r="B9" s="20" t="s">
        <v>3</v>
      </c>
      <c r="C9" s="59">
        <f>'Data Entry'!C8</f>
        <v>700</v>
      </c>
      <c r="D9" s="18"/>
      <c r="E9" s="65"/>
      <c r="F9" s="66"/>
      <c r="G9" s="232"/>
      <c r="H9" s="66"/>
      <c r="I9" s="67"/>
      <c r="J9" s="66"/>
      <c r="K9" s="67"/>
      <c r="L9" s="68"/>
      <c r="M9" s="68"/>
      <c r="N9" s="69"/>
      <c r="O9" s="155"/>
    </row>
    <row r="10" spans="1:19" ht="15" x14ac:dyDescent="0.25">
      <c r="A10" s="16"/>
      <c r="B10" s="20" t="s">
        <v>4</v>
      </c>
      <c r="C10" s="25">
        <f>'Data Entry'!C9</f>
        <v>46</v>
      </c>
      <c r="D10" s="18"/>
      <c r="E10" s="65"/>
      <c r="F10" s="66"/>
      <c r="G10" s="232"/>
      <c r="H10" s="26">
        <f>K10-C14*3</f>
        <v>3.5</v>
      </c>
      <c r="I10" s="26">
        <f>K10-C14*2</f>
        <v>4</v>
      </c>
      <c r="J10" s="26">
        <f>K10-C14</f>
        <v>4.5</v>
      </c>
      <c r="K10" s="27">
        <f>'Data Entry'!F14</f>
        <v>5</v>
      </c>
      <c r="L10" s="26">
        <f>K10+C14</f>
        <v>5.5</v>
      </c>
      <c r="M10" s="26">
        <f>K10+C14*2</f>
        <v>6</v>
      </c>
      <c r="N10" s="28">
        <f>K10+C14*3</f>
        <v>6.5</v>
      </c>
      <c r="O10" s="155"/>
    </row>
    <row r="11" spans="1:19" ht="15" x14ac:dyDescent="0.25">
      <c r="A11" s="16"/>
      <c r="B11" s="20" t="s">
        <v>5</v>
      </c>
      <c r="C11" s="61">
        <f>(C9/((C10/100)*2200))</f>
        <v>0.69169960474308301</v>
      </c>
      <c r="D11" s="18"/>
      <c r="E11" s="65"/>
      <c r="F11" s="66"/>
      <c r="G11" s="29" t="s">
        <v>6</v>
      </c>
      <c r="H11" s="66"/>
      <c r="I11" s="66"/>
      <c r="J11" s="66"/>
      <c r="K11" s="68"/>
      <c r="L11" s="68"/>
      <c r="M11" s="68"/>
      <c r="N11" s="69"/>
      <c r="O11" s="155"/>
    </row>
    <row r="12" spans="1:19" ht="15" x14ac:dyDescent="0.25">
      <c r="A12" s="16"/>
      <c r="B12" s="30" t="s">
        <v>20</v>
      </c>
      <c r="C12" s="106">
        <f>'Data Entry'!C11</f>
        <v>10</v>
      </c>
      <c r="D12" s="18"/>
      <c r="E12" s="71"/>
      <c r="F12" s="70" t="s">
        <v>67</v>
      </c>
      <c r="G12" s="70" t="s">
        <v>7</v>
      </c>
      <c r="H12" s="229" t="s">
        <v>8</v>
      </c>
      <c r="I12" s="229"/>
      <c r="J12" s="229"/>
      <c r="K12" s="229"/>
      <c r="L12" s="229"/>
      <c r="M12" s="229"/>
      <c r="N12" s="230"/>
      <c r="O12" s="155"/>
    </row>
    <row r="13" spans="1:19" ht="15.75" thickBot="1" x14ac:dyDescent="0.3">
      <c r="A13" s="16"/>
      <c r="B13" s="33" t="s">
        <v>106</v>
      </c>
      <c r="C13" s="46"/>
      <c r="D13" s="18"/>
      <c r="E13" s="72" t="s">
        <v>9</v>
      </c>
      <c r="F13" s="73" t="s">
        <v>68</v>
      </c>
      <c r="G13" s="73" t="s">
        <v>10</v>
      </c>
      <c r="H13" s="247" t="s">
        <v>18</v>
      </c>
      <c r="I13" s="247"/>
      <c r="J13" s="247"/>
      <c r="K13" s="247"/>
      <c r="L13" s="247"/>
      <c r="M13" s="247"/>
      <c r="N13" s="248"/>
      <c r="O13" s="153"/>
      <c r="P13"/>
      <c r="Q13"/>
      <c r="R13"/>
      <c r="S13"/>
    </row>
    <row r="14" spans="1:19" ht="15" x14ac:dyDescent="0.25">
      <c r="A14" s="16"/>
      <c r="B14" s="37" t="s">
        <v>108</v>
      </c>
      <c r="C14" s="61">
        <f>'Data Entry'!C13</f>
        <v>0.5</v>
      </c>
      <c r="D14" s="18"/>
      <c r="E14" s="74" t="s">
        <v>11</v>
      </c>
      <c r="F14" s="75" t="s">
        <v>12</v>
      </c>
      <c r="G14" s="75" t="s">
        <v>12</v>
      </c>
      <c r="H14" s="41">
        <f>H10/$C$11</f>
        <v>5.0599999999999996</v>
      </c>
      <c r="I14" s="41">
        <f t="shared" ref="I14:N14" si="0">I10/$C$11</f>
        <v>5.7828571428571429</v>
      </c>
      <c r="J14" s="41">
        <f t="shared" si="0"/>
        <v>6.5057142857142853</v>
      </c>
      <c r="K14" s="41">
        <f>K10/$C$11</f>
        <v>7.2285714285714286</v>
      </c>
      <c r="L14" s="41">
        <f t="shared" si="0"/>
        <v>7.9514285714285711</v>
      </c>
      <c r="M14" s="41">
        <f t="shared" si="0"/>
        <v>8.6742857142857144</v>
      </c>
      <c r="N14" s="42">
        <f t="shared" si="0"/>
        <v>9.3971428571428568</v>
      </c>
      <c r="O14" s="153"/>
      <c r="P14"/>
      <c r="Q14"/>
      <c r="R14"/>
      <c r="S14"/>
    </row>
    <row r="15" spans="1:19" ht="15" x14ac:dyDescent="0.25">
      <c r="A15" s="16"/>
      <c r="B15" s="43" t="s">
        <v>28</v>
      </c>
      <c r="C15" s="46"/>
      <c r="D15" s="18"/>
      <c r="E15" s="44">
        <f>IF((E19-4*$C$12)&lt;0,0,(E19-4*$C$12))</f>
        <v>50</v>
      </c>
      <c r="F15" s="126">
        <f>G15+(-0.0015*($C$16)^2 + 0.4902*($C$16))+24.75</f>
        <v>54.366</v>
      </c>
      <c r="G15" s="126">
        <f>IF(((-0.0015*(E15+$C$16)^2 + 0.4902*(E15+$C$16))-(-0.0015*($C$16)^2 + 0.4902*($C$16)))&lt;0,0,(-0.0015*(E15+$C$16)^2 + 0.4902*(E15+$C$16))-(-0.0015*($C$16)^2 + 0.4902*($C$16)))</f>
        <v>16.259999999999998</v>
      </c>
      <c r="H15" s="135">
        <f t="shared" ref="H15:N23" si="1">(H$10*$G15)-($C$11*($E15))</f>
        <v>22.325019762845848</v>
      </c>
      <c r="I15" s="135">
        <f t="shared" si="1"/>
        <v>30.455019762845843</v>
      </c>
      <c r="J15" s="135">
        <f t="shared" si="1"/>
        <v>38.585019762845839</v>
      </c>
      <c r="K15" s="135">
        <f t="shared" si="1"/>
        <v>46.715019762845834</v>
      </c>
      <c r="L15" s="135">
        <f t="shared" si="1"/>
        <v>54.845019762845844</v>
      </c>
      <c r="M15" s="135">
        <f t="shared" si="1"/>
        <v>62.975019762845839</v>
      </c>
      <c r="N15" s="136">
        <f t="shared" si="1"/>
        <v>71.105019762845842</v>
      </c>
      <c r="O15" s="153"/>
      <c r="P15"/>
      <c r="Q15"/>
      <c r="R15"/>
      <c r="S15"/>
    </row>
    <row r="16" spans="1:19" ht="15" x14ac:dyDescent="0.25">
      <c r="A16" s="16"/>
      <c r="B16" s="37" t="s">
        <v>29</v>
      </c>
      <c r="C16" s="107">
        <f>'Data Entry'!C15</f>
        <v>30</v>
      </c>
      <c r="D16" s="18"/>
      <c r="E16" s="44">
        <f>IF((E20-4*$C$12)&lt;0,0,(E20-4*$C$12))</f>
        <v>60</v>
      </c>
      <c r="F16" s="126">
        <f t="shared" ref="F16:F23" si="2">G16+(-0.0015*($C$16)^2 + 0.4902*($C$16))+24.75</f>
        <v>56.718000000000004</v>
      </c>
      <c r="G16" s="126">
        <f t="shared" ref="G16:G23" si="3">IF(((-0.0015*(E16+$C$16)^2 + 0.4902*(E16+$C$16))-(-0.0015*($C$16)^2 + 0.4902*($C$16)))&lt;0,0,(-0.0015*(E16+$C$16)^2 + 0.4902*(E16+$C$16))-(-0.0015*($C$16)^2 + 0.4902*($C$16)))</f>
        <v>18.612000000000002</v>
      </c>
      <c r="H16" s="135">
        <f>(H$10*$G16)-($C$11*($E16))</f>
        <v>23.640023715415026</v>
      </c>
      <c r="I16" s="135">
        <f t="shared" si="1"/>
        <v>32.946023715415024</v>
      </c>
      <c r="J16" s="135">
        <f t="shared" si="1"/>
        <v>42.252023715415021</v>
      </c>
      <c r="K16" s="135">
        <f t="shared" si="1"/>
        <v>51.558023715415018</v>
      </c>
      <c r="L16" s="135">
        <f t="shared" si="1"/>
        <v>60.86402371541503</v>
      </c>
      <c r="M16" s="135">
        <f t="shared" si="1"/>
        <v>70.170023715415027</v>
      </c>
      <c r="N16" s="136">
        <f t="shared" si="1"/>
        <v>79.476023715415025</v>
      </c>
      <c r="O16" s="153"/>
      <c r="P16"/>
      <c r="Q16"/>
      <c r="R16"/>
      <c r="S16"/>
    </row>
    <row r="17" spans="1:24" ht="15" x14ac:dyDescent="0.25">
      <c r="A17" s="16"/>
      <c r="B17" s="43" t="s">
        <v>30</v>
      </c>
      <c r="C17" s="46"/>
      <c r="D17" s="18"/>
      <c r="E17" s="44">
        <f>IF((E21-4*$C$12)&lt;0,0,(E21-4*$C$12))</f>
        <v>70</v>
      </c>
      <c r="F17" s="126">
        <f t="shared" si="2"/>
        <v>58.77</v>
      </c>
      <c r="G17" s="126">
        <f t="shared" si="3"/>
        <v>20.664000000000001</v>
      </c>
      <c r="H17" s="135">
        <f t="shared" ref="H17:H23" si="4">(H$10*$G17)-($C$11*($E17))</f>
        <v>23.9050276679842</v>
      </c>
      <c r="I17" s="135">
        <f t="shared" si="1"/>
        <v>34.237027667984194</v>
      </c>
      <c r="J17" s="135">
        <f t="shared" si="1"/>
        <v>44.569027667984187</v>
      </c>
      <c r="K17" s="135">
        <f t="shared" si="1"/>
        <v>54.901027667984195</v>
      </c>
      <c r="L17" s="135">
        <f t="shared" si="1"/>
        <v>65.233027667984203</v>
      </c>
      <c r="M17" s="135">
        <f t="shared" si="1"/>
        <v>75.565027667984197</v>
      </c>
      <c r="N17" s="136">
        <f t="shared" si="1"/>
        <v>85.89702766798419</v>
      </c>
      <c r="O17" s="153"/>
      <c r="P17"/>
      <c r="Q17"/>
      <c r="R17"/>
      <c r="S17"/>
    </row>
    <row r="18" spans="1:24" ht="15.75" thickBot="1" x14ac:dyDescent="0.3">
      <c r="A18" s="16"/>
      <c r="B18" s="17"/>
      <c r="C18" s="18"/>
      <c r="D18" s="18"/>
      <c r="E18" s="44">
        <f>IF((E22-4*$C$12)&lt;0,0,(E22-4*$C$12))</f>
        <v>80</v>
      </c>
      <c r="F18" s="126">
        <f t="shared" si="2"/>
        <v>60.522000000000006</v>
      </c>
      <c r="G18" s="126">
        <f t="shared" si="3"/>
        <v>22.416000000000004</v>
      </c>
      <c r="H18" s="135">
        <f t="shared" si="4"/>
        <v>23.120031620553377</v>
      </c>
      <c r="I18" s="135">
        <f t="shared" si="1"/>
        <v>34.328031620553375</v>
      </c>
      <c r="J18" s="135">
        <f t="shared" si="1"/>
        <v>45.536031620553374</v>
      </c>
      <c r="K18" s="135">
        <f t="shared" si="1"/>
        <v>56.744031620553372</v>
      </c>
      <c r="L18" s="135">
        <f t="shared" si="1"/>
        <v>67.952031620553385</v>
      </c>
      <c r="M18" s="135">
        <f t="shared" si="1"/>
        <v>79.160031620553397</v>
      </c>
      <c r="N18" s="136">
        <f t="shared" si="1"/>
        <v>90.368031620553396</v>
      </c>
      <c r="O18" s="153"/>
      <c r="P18"/>
      <c r="Q18"/>
      <c r="R18"/>
      <c r="S18"/>
    </row>
    <row r="19" spans="1:24" ht="15.75" thickBot="1" x14ac:dyDescent="0.3">
      <c r="A19" s="16"/>
      <c r="B19" s="47"/>
      <c r="C19" s="48"/>
      <c r="D19" s="49" t="s">
        <v>13</v>
      </c>
      <c r="E19" s="50">
        <f>'Data Entry'!F9</f>
        <v>90</v>
      </c>
      <c r="F19" s="192">
        <f t="shared" si="2"/>
        <v>61.974000000000004</v>
      </c>
      <c r="G19" s="126">
        <f t="shared" si="3"/>
        <v>23.868000000000002</v>
      </c>
      <c r="H19" s="135">
        <f t="shared" si="4"/>
        <v>21.285035573122542</v>
      </c>
      <c r="I19" s="135">
        <f t="shared" si="1"/>
        <v>33.21903557312254</v>
      </c>
      <c r="J19" s="135">
        <f t="shared" si="1"/>
        <v>45.153035573122537</v>
      </c>
      <c r="K19" s="135">
        <f t="shared" si="1"/>
        <v>57.087035573122535</v>
      </c>
      <c r="L19" s="135">
        <f t="shared" si="1"/>
        <v>69.021035573122532</v>
      </c>
      <c r="M19" s="135">
        <f t="shared" si="1"/>
        <v>80.955035573122558</v>
      </c>
      <c r="N19" s="136">
        <f t="shared" si="1"/>
        <v>92.889035573122555</v>
      </c>
      <c r="O19" s="153"/>
      <c r="P19"/>
      <c r="Q19"/>
      <c r="R19"/>
      <c r="S19"/>
    </row>
    <row r="20" spans="1:24" ht="15" x14ac:dyDescent="0.25">
      <c r="A20" s="16"/>
      <c r="B20" s="17"/>
      <c r="C20" s="18"/>
      <c r="D20" s="18"/>
      <c r="E20" s="51">
        <f>E19+C12</f>
        <v>100</v>
      </c>
      <c r="F20" s="126">
        <f t="shared" si="2"/>
        <v>63.126000000000005</v>
      </c>
      <c r="G20" s="126">
        <f t="shared" si="3"/>
        <v>25.020000000000003</v>
      </c>
      <c r="H20" s="135">
        <f t="shared" si="4"/>
        <v>18.40003952569171</v>
      </c>
      <c r="I20" s="135">
        <f t="shared" si="1"/>
        <v>30.910039525691715</v>
      </c>
      <c r="J20" s="135">
        <f t="shared" si="1"/>
        <v>43.42003952569172</v>
      </c>
      <c r="K20" s="135">
        <f t="shared" si="1"/>
        <v>55.930039525691726</v>
      </c>
      <c r="L20" s="135">
        <f t="shared" si="1"/>
        <v>68.440039525691716</v>
      </c>
      <c r="M20" s="135">
        <f t="shared" si="1"/>
        <v>80.950039525691707</v>
      </c>
      <c r="N20" s="136">
        <f t="shared" si="1"/>
        <v>93.460039525691727</v>
      </c>
      <c r="O20" s="153"/>
      <c r="P20"/>
      <c r="Q20"/>
      <c r="R20"/>
      <c r="S20"/>
    </row>
    <row r="21" spans="1:24" ht="15" x14ac:dyDescent="0.25">
      <c r="A21" s="16"/>
      <c r="B21" s="17"/>
      <c r="C21" s="52"/>
      <c r="D21" s="18"/>
      <c r="E21" s="51">
        <f>E19+2*C12</f>
        <v>110</v>
      </c>
      <c r="F21" s="126">
        <f t="shared" si="2"/>
        <v>63.977999999999994</v>
      </c>
      <c r="G21" s="126">
        <f t="shared" si="3"/>
        <v>25.871999999999993</v>
      </c>
      <c r="H21" s="135">
        <f t="shared" si="4"/>
        <v>14.465043478260853</v>
      </c>
      <c r="I21" s="135">
        <f t="shared" si="1"/>
        <v>27.401043478260846</v>
      </c>
      <c r="J21" s="135">
        <f t="shared" si="1"/>
        <v>40.337043478260838</v>
      </c>
      <c r="K21" s="135">
        <f t="shared" si="1"/>
        <v>53.273043478260831</v>
      </c>
      <c r="L21" s="135">
        <f t="shared" si="1"/>
        <v>66.209043478260838</v>
      </c>
      <c r="M21" s="135">
        <f t="shared" si="1"/>
        <v>79.145043478260845</v>
      </c>
      <c r="N21" s="136">
        <f t="shared" si="1"/>
        <v>92.081043478260824</v>
      </c>
      <c r="O21" s="153"/>
      <c r="P21"/>
      <c r="Q21"/>
      <c r="R21"/>
      <c r="S21"/>
    </row>
    <row r="22" spans="1:24" ht="15" x14ac:dyDescent="0.25">
      <c r="A22" s="16"/>
      <c r="B22" s="17"/>
      <c r="C22" s="18"/>
      <c r="D22" s="18"/>
      <c r="E22" s="51">
        <f>E19+3*C12</f>
        <v>120</v>
      </c>
      <c r="F22" s="126">
        <f t="shared" si="2"/>
        <v>64.53</v>
      </c>
      <c r="G22" s="126">
        <f t="shared" si="3"/>
        <v>26.423999999999999</v>
      </c>
      <c r="H22" s="135">
        <f t="shared" si="4"/>
        <v>9.4800474308300267</v>
      </c>
      <c r="I22" s="135">
        <f t="shared" si="1"/>
        <v>22.69204743083003</v>
      </c>
      <c r="J22" s="135">
        <f t="shared" si="1"/>
        <v>35.904047430830033</v>
      </c>
      <c r="K22" s="135">
        <f t="shared" si="1"/>
        <v>49.116047430830037</v>
      </c>
      <c r="L22" s="135">
        <f t="shared" si="1"/>
        <v>62.328047430830026</v>
      </c>
      <c r="M22" s="135">
        <f t="shared" si="1"/>
        <v>75.540047430830015</v>
      </c>
      <c r="N22" s="136">
        <f t="shared" si="1"/>
        <v>88.752047430830032</v>
      </c>
      <c r="O22" s="153"/>
      <c r="P22"/>
      <c r="Q22"/>
      <c r="R22"/>
      <c r="S22"/>
    </row>
    <row r="23" spans="1:24" ht="15" x14ac:dyDescent="0.25">
      <c r="A23" s="16"/>
      <c r="B23" s="17"/>
      <c r="C23" s="18"/>
      <c r="D23" s="18"/>
      <c r="E23" s="51">
        <f>E19+4*C12</f>
        <v>130</v>
      </c>
      <c r="F23" s="126">
        <f t="shared" si="2"/>
        <v>64.782000000000011</v>
      </c>
      <c r="G23" s="126">
        <f t="shared" si="3"/>
        <v>26.676000000000002</v>
      </c>
      <c r="H23" s="135">
        <f t="shared" si="4"/>
        <v>3.4450513833992176</v>
      </c>
      <c r="I23" s="135">
        <f t="shared" si="1"/>
        <v>16.783051383399211</v>
      </c>
      <c r="J23" s="135">
        <f t="shared" si="1"/>
        <v>30.121051383399205</v>
      </c>
      <c r="K23" s="135">
        <f t="shared" si="1"/>
        <v>43.459051383399199</v>
      </c>
      <c r="L23" s="135">
        <f t="shared" si="1"/>
        <v>56.797051383399221</v>
      </c>
      <c r="M23" s="135">
        <f t="shared" si="1"/>
        <v>70.135051383399215</v>
      </c>
      <c r="N23" s="136">
        <f t="shared" si="1"/>
        <v>83.473051383399209</v>
      </c>
      <c r="O23" s="153"/>
      <c r="P23"/>
      <c r="Q23"/>
      <c r="R23"/>
      <c r="S23"/>
    </row>
    <row r="24" spans="1:24" ht="11.25" customHeight="1" x14ac:dyDescent="0.2">
      <c r="A24" s="16"/>
      <c r="B24" s="17"/>
      <c r="C24" s="18"/>
      <c r="D24" s="18"/>
      <c r="E24" s="249" t="s">
        <v>50</v>
      </c>
      <c r="F24" s="250"/>
      <c r="G24" s="250"/>
      <c r="H24" s="250"/>
      <c r="I24" s="250"/>
      <c r="J24" s="250"/>
      <c r="K24" s="250"/>
      <c r="L24" s="250"/>
      <c r="M24" s="250"/>
      <c r="N24" s="251"/>
      <c r="O24" s="153"/>
      <c r="P24"/>
      <c r="Q24"/>
      <c r="R24"/>
      <c r="S24"/>
    </row>
    <row r="25" spans="1:24" ht="11.25" customHeight="1" x14ac:dyDescent="0.2">
      <c r="A25" s="16"/>
      <c r="B25" s="17"/>
      <c r="C25" s="18"/>
      <c r="D25" s="18"/>
      <c r="E25" s="254" t="s">
        <v>16</v>
      </c>
      <c r="F25" s="255"/>
      <c r="G25" s="255"/>
      <c r="H25" s="255"/>
      <c r="I25" s="255"/>
      <c r="J25" s="255"/>
      <c r="K25" s="255"/>
      <c r="L25" s="255"/>
      <c r="M25" s="255"/>
      <c r="N25" s="256"/>
      <c r="O25" s="153"/>
      <c r="P25"/>
      <c r="Q25"/>
      <c r="R25"/>
      <c r="S25"/>
    </row>
    <row r="26" spans="1:24" ht="11.25" customHeight="1" x14ac:dyDescent="0.2">
      <c r="A26" s="16"/>
      <c r="B26" s="17"/>
      <c r="C26" s="18"/>
      <c r="D26" s="18"/>
      <c r="E26" s="254" t="s">
        <v>19</v>
      </c>
      <c r="F26" s="255"/>
      <c r="G26" s="255"/>
      <c r="H26" s="255"/>
      <c r="I26" s="255"/>
      <c r="J26" s="255"/>
      <c r="K26" s="255"/>
      <c r="L26" s="255"/>
      <c r="M26" s="255"/>
      <c r="N26" s="256"/>
      <c r="O26" s="153"/>
      <c r="P26"/>
      <c r="Q26"/>
      <c r="R26"/>
      <c r="S26"/>
    </row>
    <row r="27" spans="1:24" ht="11.25" customHeight="1" x14ac:dyDescent="0.2">
      <c r="A27" s="16"/>
      <c r="B27" s="17"/>
      <c r="C27" s="18"/>
      <c r="D27" s="18"/>
      <c r="E27" s="262" t="s">
        <v>85</v>
      </c>
      <c r="F27" s="263"/>
      <c r="G27" s="263"/>
      <c r="H27" s="263"/>
      <c r="I27" s="263"/>
      <c r="J27" s="263"/>
      <c r="K27" s="264"/>
      <c r="L27" s="264"/>
      <c r="M27" s="264"/>
      <c r="N27" s="265"/>
      <c r="O27" s="153"/>
      <c r="P27"/>
      <c r="Q27"/>
      <c r="R27"/>
      <c r="S27"/>
    </row>
    <row r="28" spans="1:24" ht="11.25" customHeight="1" thickBot="1" x14ac:dyDescent="0.25">
      <c r="A28" s="16"/>
      <c r="B28" s="17"/>
      <c r="C28" s="18"/>
      <c r="D28" s="18"/>
      <c r="E28" s="257" t="s">
        <v>38</v>
      </c>
      <c r="F28" s="258"/>
      <c r="G28" s="259"/>
      <c r="H28" s="259"/>
      <c r="I28" s="259"/>
      <c r="J28" s="259"/>
      <c r="K28" s="260"/>
      <c r="L28" s="260"/>
      <c r="M28" s="260"/>
      <c r="N28" s="261"/>
      <c r="O28" s="153"/>
      <c r="P28"/>
      <c r="Q28"/>
      <c r="R28"/>
      <c r="S28"/>
    </row>
    <row r="29" spans="1:24" ht="11.25" customHeight="1" x14ac:dyDescent="0.2">
      <c r="A29" s="16"/>
      <c r="B29" s="17"/>
      <c r="C29" s="18"/>
      <c r="D29" s="18"/>
      <c r="E29" s="53"/>
      <c r="F29" s="53"/>
      <c r="G29" s="53"/>
      <c r="H29" s="53"/>
      <c r="I29" s="53"/>
      <c r="J29" s="53"/>
      <c r="K29" s="12"/>
      <c r="L29" s="12"/>
      <c r="M29" s="12"/>
      <c r="N29" s="15"/>
      <c r="O29" s="153"/>
      <c r="P29"/>
      <c r="Q29"/>
      <c r="R29"/>
      <c r="S29"/>
      <c r="T29"/>
      <c r="U29"/>
      <c r="V29"/>
      <c r="W29"/>
      <c r="X29"/>
    </row>
    <row r="30" spans="1:24" ht="11.25" customHeight="1" thickBot="1" x14ac:dyDescent="0.25">
      <c r="B30" s="252"/>
      <c r="C30" s="253"/>
      <c r="D30" s="253"/>
      <c r="E30" s="253"/>
      <c r="F30" s="253"/>
      <c r="G30" s="253"/>
      <c r="H30" s="253"/>
      <c r="I30" s="253"/>
      <c r="J30" s="253"/>
      <c r="K30" s="55"/>
      <c r="L30" s="55"/>
      <c r="M30" s="55"/>
      <c r="N30" s="56"/>
      <c r="O30" s="153"/>
      <c r="P30"/>
      <c r="Q30"/>
      <c r="R30"/>
      <c r="S30"/>
      <c r="T30"/>
      <c r="U30"/>
      <c r="V30"/>
      <c r="W30"/>
      <c r="X30"/>
    </row>
    <row r="31" spans="1:24" ht="4.5" customHeight="1" thickBot="1" x14ac:dyDescent="0.25">
      <c r="A31" s="16"/>
      <c r="B31" s="17"/>
      <c r="C31" s="18"/>
      <c r="D31" s="18"/>
      <c r="E31" s="18"/>
      <c r="F31" s="18"/>
      <c r="G31" s="18"/>
      <c r="H31" s="18"/>
      <c r="I31" s="18"/>
      <c r="J31" s="18"/>
      <c r="K31" s="12"/>
      <c r="L31" s="12"/>
      <c r="M31" s="12"/>
      <c r="N31" s="15"/>
      <c r="O31" s="155"/>
    </row>
    <row r="32" spans="1:24" ht="15.75" customHeight="1" thickBot="1" x14ac:dyDescent="0.3">
      <c r="A32" s="16"/>
      <c r="B32" s="240" t="s">
        <v>39</v>
      </c>
      <c r="C32" s="241"/>
      <c r="E32" s="18"/>
      <c r="F32" s="18"/>
      <c r="G32" s="18"/>
      <c r="H32" s="18"/>
      <c r="I32" s="19"/>
      <c r="J32" s="18"/>
      <c r="K32" s="19"/>
      <c r="L32" s="12"/>
      <c r="M32" s="12"/>
      <c r="N32" s="15"/>
      <c r="O32" s="155"/>
    </row>
    <row r="33" spans="1:19" ht="15" customHeight="1" x14ac:dyDescent="0.25">
      <c r="A33" s="16"/>
      <c r="B33" s="87" t="s">
        <v>1</v>
      </c>
      <c r="C33" s="167" t="str">
        <f>'Data Entry'!C7</f>
        <v>UREA</v>
      </c>
      <c r="D33" s="18"/>
      <c r="F33" s="62"/>
      <c r="G33" s="231" t="s">
        <v>102</v>
      </c>
      <c r="H33" s="63"/>
      <c r="I33" s="242" t="s">
        <v>17</v>
      </c>
      <c r="J33" s="243"/>
      <c r="K33" s="243"/>
      <c r="L33" s="243"/>
      <c r="M33" s="243"/>
      <c r="N33" s="64"/>
      <c r="O33" s="155"/>
    </row>
    <row r="34" spans="1:19" ht="15" customHeight="1" x14ac:dyDescent="0.2">
      <c r="A34" s="16"/>
      <c r="B34" s="20" t="s">
        <v>3</v>
      </c>
      <c r="C34" s="59">
        <f>'Data Entry'!C8</f>
        <v>700</v>
      </c>
      <c r="D34" s="18"/>
      <c r="F34" s="65"/>
      <c r="G34" s="232"/>
      <c r="H34" s="66"/>
      <c r="I34" s="67"/>
      <c r="J34" s="66"/>
      <c r="K34" s="67"/>
      <c r="L34" s="68"/>
      <c r="M34" s="68"/>
      <c r="N34" s="69"/>
      <c r="O34" s="155"/>
    </row>
    <row r="35" spans="1:19" ht="15" x14ac:dyDescent="0.25">
      <c r="A35" s="16"/>
      <c r="B35" s="20" t="s">
        <v>4</v>
      </c>
      <c r="C35" s="25">
        <f>'Data Entry'!C9</f>
        <v>46</v>
      </c>
      <c r="D35" s="18"/>
      <c r="F35" s="65"/>
      <c r="G35" s="232"/>
      <c r="H35" s="26">
        <f>K35-C39*3</f>
        <v>3.5</v>
      </c>
      <c r="I35" s="26">
        <f>K35-C39*2</f>
        <v>4</v>
      </c>
      <c r="J35" s="26">
        <f>K35-C39</f>
        <v>4.5</v>
      </c>
      <c r="K35" s="27">
        <f>'Data Entry'!F14</f>
        <v>5</v>
      </c>
      <c r="L35" s="26">
        <f>K35+C39</f>
        <v>5.5</v>
      </c>
      <c r="M35" s="26">
        <f>K35+C39*2</f>
        <v>6</v>
      </c>
      <c r="N35" s="28">
        <f>K35+C39*3</f>
        <v>6.5</v>
      </c>
      <c r="O35" s="155"/>
    </row>
    <row r="36" spans="1:19" ht="15" x14ac:dyDescent="0.25">
      <c r="A36" s="16"/>
      <c r="B36" s="20" t="s">
        <v>5</v>
      </c>
      <c r="C36" s="61">
        <f>(C34/((C35/100)*2200))</f>
        <v>0.69169960474308301</v>
      </c>
      <c r="D36" s="18"/>
      <c r="F36" s="65"/>
      <c r="G36" s="29" t="s">
        <v>6</v>
      </c>
      <c r="H36" s="66"/>
      <c r="I36" s="66"/>
      <c r="J36" s="66"/>
      <c r="K36" s="68"/>
      <c r="L36" s="68"/>
      <c r="M36" s="68"/>
      <c r="N36" s="69"/>
      <c r="O36" s="155"/>
    </row>
    <row r="37" spans="1:19" ht="15" x14ac:dyDescent="0.25">
      <c r="A37" s="16"/>
      <c r="B37" s="30" t="s">
        <v>20</v>
      </c>
      <c r="C37" s="106">
        <f>'Data Entry'!C11</f>
        <v>10</v>
      </c>
      <c r="D37" s="18"/>
      <c r="F37" s="71"/>
      <c r="G37" s="70" t="s">
        <v>7</v>
      </c>
      <c r="H37" s="229" t="s">
        <v>112</v>
      </c>
      <c r="I37" s="229"/>
      <c r="J37" s="229"/>
      <c r="K37" s="229"/>
      <c r="L37" s="229"/>
      <c r="M37" s="229"/>
      <c r="N37" s="230"/>
      <c r="O37" s="155"/>
    </row>
    <row r="38" spans="1:19" ht="15.75" thickBot="1" x14ac:dyDescent="0.3">
      <c r="A38" s="16"/>
      <c r="B38" s="33" t="s">
        <v>106</v>
      </c>
      <c r="C38" s="46"/>
      <c r="D38" s="18"/>
      <c r="F38" s="72" t="s">
        <v>9</v>
      </c>
      <c r="G38" s="73" t="s">
        <v>10</v>
      </c>
      <c r="H38" s="247" t="s">
        <v>18</v>
      </c>
      <c r="I38" s="247"/>
      <c r="J38" s="247"/>
      <c r="K38" s="247"/>
      <c r="L38" s="247"/>
      <c r="M38" s="247"/>
      <c r="N38" s="248"/>
      <c r="O38" s="153"/>
      <c r="P38"/>
      <c r="Q38"/>
      <c r="R38"/>
      <c r="S38"/>
    </row>
    <row r="39" spans="1:19" ht="15" x14ac:dyDescent="0.25">
      <c r="A39" s="16"/>
      <c r="B39" s="37" t="s">
        <v>108</v>
      </c>
      <c r="C39" s="61">
        <f>'Data Entry'!C13</f>
        <v>0.5</v>
      </c>
      <c r="D39" s="18"/>
      <c r="F39" s="74" t="s">
        <v>11</v>
      </c>
      <c r="G39" s="75" t="s">
        <v>12</v>
      </c>
      <c r="H39" s="41">
        <f t="shared" ref="H39:N39" si="5">H35/$C$11</f>
        <v>5.0599999999999996</v>
      </c>
      <c r="I39" s="41">
        <f t="shared" si="5"/>
        <v>5.7828571428571429</v>
      </c>
      <c r="J39" s="41">
        <f t="shared" si="5"/>
        <v>6.5057142857142853</v>
      </c>
      <c r="K39" s="41">
        <f t="shared" si="5"/>
        <v>7.2285714285714286</v>
      </c>
      <c r="L39" s="41">
        <f t="shared" si="5"/>
        <v>7.9514285714285711</v>
      </c>
      <c r="M39" s="41">
        <f t="shared" si="5"/>
        <v>8.6742857142857144</v>
      </c>
      <c r="N39" s="42">
        <f t="shared" si="5"/>
        <v>9.3971428571428568</v>
      </c>
      <c r="O39" s="153"/>
      <c r="P39"/>
      <c r="Q39"/>
      <c r="R39"/>
      <c r="S39"/>
    </row>
    <row r="40" spans="1:19" ht="15" x14ac:dyDescent="0.25">
      <c r="A40" s="16"/>
      <c r="B40" s="43" t="s">
        <v>28</v>
      </c>
      <c r="C40" s="46"/>
      <c r="D40" s="18"/>
      <c r="F40" s="190">
        <f>IF((F44-4*$C$12)&lt;0,0,(F44-4*$C$12))</f>
        <v>50</v>
      </c>
      <c r="G40" s="126">
        <f>G15+(-0.0015*($C$16)^2 + 0.4902*($C$16))+24.75</f>
        <v>54.366</v>
      </c>
      <c r="H40" s="135">
        <f t="shared" ref="H40:N48" si="6">(H$10*$G40)-($C$11*($F40))</f>
        <v>155.69601976284585</v>
      </c>
      <c r="I40" s="135">
        <f t="shared" si="6"/>
        <v>182.87901976284584</v>
      </c>
      <c r="J40" s="135">
        <f t="shared" si="6"/>
        <v>210.06201976284584</v>
      </c>
      <c r="K40" s="135">
        <f t="shared" si="6"/>
        <v>237.24501976284583</v>
      </c>
      <c r="L40" s="135">
        <f t="shared" si="6"/>
        <v>264.42801976284585</v>
      </c>
      <c r="M40" s="135">
        <f t="shared" si="6"/>
        <v>291.6110197628459</v>
      </c>
      <c r="N40" s="136">
        <f t="shared" si="6"/>
        <v>318.79401976284589</v>
      </c>
      <c r="O40" s="153"/>
      <c r="P40"/>
      <c r="Q40"/>
      <c r="R40"/>
      <c r="S40"/>
    </row>
    <row r="41" spans="1:19" ht="15" x14ac:dyDescent="0.25">
      <c r="A41" s="16"/>
      <c r="B41" s="37" t="s">
        <v>29</v>
      </c>
      <c r="C41" s="107">
        <f>'Data Entry'!C15</f>
        <v>30</v>
      </c>
      <c r="D41" s="18"/>
      <c r="F41" s="190">
        <f>IF((F45-4*$C$12)&lt;0,0,(F45-4*$C$12))</f>
        <v>60</v>
      </c>
      <c r="G41" s="126">
        <f t="shared" ref="G41:G48" si="7">G16+(-0.0015*($C$16)^2 + 0.4902*($C$16))+24.75</f>
        <v>56.718000000000004</v>
      </c>
      <c r="H41" s="135">
        <f t="shared" si="6"/>
        <v>157.01102371541504</v>
      </c>
      <c r="I41" s="135">
        <f t="shared" si="6"/>
        <v>185.37002371541502</v>
      </c>
      <c r="J41" s="135">
        <f t="shared" si="6"/>
        <v>213.72902371541505</v>
      </c>
      <c r="K41" s="135">
        <f t="shared" si="6"/>
        <v>242.08802371541503</v>
      </c>
      <c r="L41" s="135">
        <f t="shared" si="6"/>
        <v>270.44702371541501</v>
      </c>
      <c r="M41" s="135">
        <f t="shared" si="6"/>
        <v>298.80602371541499</v>
      </c>
      <c r="N41" s="136">
        <f t="shared" si="6"/>
        <v>327.16502371541503</v>
      </c>
      <c r="O41" s="153"/>
      <c r="P41"/>
      <c r="Q41"/>
      <c r="R41"/>
      <c r="S41"/>
    </row>
    <row r="42" spans="1:19" ht="15" x14ac:dyDescent="0.25">
      <c r="A42" s="16"/>
      <c r="B42" s="43" t="s">
        <v>30</v>
      </c>
      <c r="C42" s="46"/>
      <c r="D42" s="18"/>
      <c r="F42" s="190">
        <f>IF((F46-4*$C$12)&lt;0,0,(F46-4*$C$12))</f>
        <v>70</v>
      </c>
      <c r="G42" s="126">
        <f t="shared" si="7"/>
        <v>58.77</v>
      </c>
      <c r="H42" s="135">
        <f t="shared" si="6"/>
        <v>157.27602766798421</v>
      </c>
      <c r="I42" s="135">
        <f t="shared" si="6"/>
        <v>186.6610276679842</v>
      </c>
      <c r="J42" s="135">
        <f t="shared" si="6"/>
        <v>216.04602766798422</v>
      </c>
      <c r="K42" s="135">
        <f t="shared" si="6"/>
        <v>245.43102766798421</v>
      </c>
      <c r="L42" s="135">
        <f t="shared" si="6"/>
        <v>274.8160276679842</v>
      </c>
      <c r="M42" s="135">
        <f t="shared" si="6"/>
        <v>304.20102766798419</v>
      </c>
      <c r="N42" s="136">
        <f t="shared" si="6"/>
        <v>333.58602766798418</v>
      </c>
      <c r="O42" s="153"/>
      <c r="P42"/>
      <c r="Q42"/>
      <c r="R42"/>
      <c r="S42"/>
    </row>
    <row r="43" spans="1:19" ht="15.75" thickBot="1" x14ac:dyDescent="0.3">
      <c r="A43" s="16"/>
      <c r="B43" s="17"/>
      <c r="C43" s="18"/>
      <c r="D43" s="18"/>
      <c r="F43" s="193">
        <f>IF((F47-4*$C$12)&lt;0,0,(F47-4*$C$12))</f>
        <v>80</v>
      </c>
      <c r="G43" s="126">
        <f t="shared" si="7"/>
        <v>60.522000000000006</v>
      </c>
      <c r="H43" s="135">
        <f t="shared" si="6"/>
        <v>156.49103162055337</v>
      </c>
      <c r="I43" s="135">
        <f t="shared" si="6"/>
        <v>186.7520316205534</v>
      </c>
      <c r="J43" s="135">
        <f t="shared" si="6"/>
        <v>217.01303162055342</v>
      </c>
      <c r="K43" s="135">
        <f t="shared" si="6"/>
        <v>247.27403162055339</v>
      </c>
      <c r="L43" s="135">
        <f t="shared" si="6"/>
        <v>277.53503162055341</v>
      </c>
      <c r="M43" s="135">
        <f t="shared" si="6"/>
        <v>307.79603162055344</v>
      </c>
      <c r="N43" s="136">
        <f t="shared" si="6"/>
        <v>338.0570316205534</v>
      </c>
      <c r="O43" s="153"/>
      <c r="P43"/>
      <c r="Q43"/>
      <c r="R43"/>
      <c r="S43"/>
    </row>
    <row r="44" spans="1:19" ht="15.75" thickBot="1" x14ac:dyDescent="0.3">
      <c r="A44" s="16"/>
      <c r="B44" s="47"/>
      <c r="C44" s="48"/>
      <c r="E44" s="49" t="s">
        <v>13</v>
      </c>
      <c r="F44" s="50">
        <f>E19</f>
        <v>90</v>
      </c>
      <c r="G44" s="192">
        <f t="shared" si="7"/>
        <v>61.974000000000004</v>
      </c>
      <c r="H44" s="135">
        <f t="shared" si="6"/>
        <v>154.65603557312255</v>
      </c>
      <c r="I44" s="135">
        <f t="shared" si="6"/>
        <v>185.64303557312255</v>
      </c>
      <c r="J44" s="135">
        <f t="shared" si="6"/>
        <v>216.63003557312257</v>
      </c>
      <c r="K44" s="135">
        <f t="shared" si="6"/>
        <v>247.61703557312254</v>
      </c>
      <c r="L44" s="135">
        <f t="shared" si="6"/>
        <v>278.60403557312259</v>
      </c>
      <c r="M44" s="135">
        <f t="shared" si="6"/>
        <v>309.59103557312255</v>
      </c>
      <c r="N44" s="136">
        <f t="shared" si="6"/>
        <v>340.57803557312252</v>
      </c>
      <c r="O44" s="153"/>
      <c r="P44"/>
      <c r="Q44"/>
      <c r="R44"/>
      <c r="S44"/>
    </row>
    <row r="45" spans="1:19" ht="15" x14ac:dyDescent="0.25">
      <c r="A45" s="16"/>
      <c r="B45" s="17"/>
      <c r="C45" s="18"/>
      <c r="D45" s="18"/>
      <c r="F45" s="194">
        <f>F44+C37</f>
        <v>100</v>
      </c>
      <c r="G45" s="126">
        <f t="shared" si="7"/>
        <v>63.126000000000005</v>
      </c>
      <c r="H45" s="135">
        <f t="shared" si="6"/>
        <v>151.77103952569172</v>
      </c>
      <c r="I45" s="135">
        <f t="shared" si="6"/>
        <v>183.33403952569171</v>
      </c>
      <c r="J45" s="135">
        <f t="shared" si="6"/>
        <v>214.8970395256917</v>
      </c>
      <c r="K45" s="135">
        <f t="shared" si="6"/>
        <v>246.46003952569168</v>
      </c>
      <c r="L45" s="135">
        <f t="shared" si="6"/>
        <v>278.02303952569173</v>
      </c>
      <c r="M45" s="135">
        <f t="shared" si="6"/>
        <v>309.58603952569172</v>
      </c>
      <c r="N45" s="136">
        <f t="shared" si="6"/>
        <v>341.14903952569171</v>
      </c>
      <c r="O45" s="153"/>
      <c r="P45"/>
      <c r="Q45"/>
      <c r="R45"/>
      <c r="S45"/>
    </row>
    <row r="46" spans="1:19" ht="15" x14ac:dyDescent="0.25">
      <c r="A46" s="16"/>
      <c r="B46" s="17"/>
      <c r="C46" s="52"/>
      <c r="D46" s="18"/>
      <c r="F46" s="190">
        <f>F44+2*C37</f>
        <v>110</v>
      </c>
      <c r="G46" s="126">
        <f t="shared" si="7"/>
        <v>63.977999999999994</v>
      </c>
      <c r="H46" s="135">
        <f t="shared" si="6"/>
        <v>147.83604347826085</v>
      </c>
      <c r="I46" s="135">
        <f t="shared" si="6"/>
        <v>179.82504347826085</v>
      </c>
      <c r="J46" s="135">
        <f t="shared" si="6"/>
        <v>211.81404347826083</v>
      </c>
      <c r="K46" s="135">
        <f t="shared" si="6"/>
        <v>243.80304347826086</v>
      </c>
      <c r="L46" s="135">
        <f t="shared" si="6"/>
        <v>275.79204347826084</v>
      </c>
      <c r="M46" s="135">
        <f t="shared" si="6"/>
        <v>307.78104347826081</v>
      </c>
      <c r="N46" s="136">
        <f t="shared" si="6"/>
        <v>339.77004347826085</v>
      </c>
      <c r="O46" s="153"/>
      <c r="P46"/>
      <c r="Q46"/>
      <c r="R46"/>
      <c r="S46"/>
    </row>
    <row r="47" spans="1:19" ht="15" x14ac:dyDescent="0.25">
      <c r="A47" s="16"/>
      <c r="B47" s="17"/>
      <c r="C47" s="18"/>
      <c r="D47" s="18"/>
      <c r="F47" s="190">
        <f>F44+3*C37</f>
        <v>120</v>
      </c>
      <c r="G47" s="126">
        <f t="shared" si="7"/>
        <v>64.53</v>
      </c>
      <c r="H47" s="135">
        <f t="shared" si="6"/>
        <v>142.85104743083005</v>
      </c>
      <c r="I47" s="135">
        <f t="shared" si="6"/>
        <v>175.11604743083004</v>
      </c>
      <c r="J47" s="135">
        <f t="shared" si="6"/>
        <v>207.38104743083002</v>
      </c>
      <c r="K47" s="135">
        <f t="shared" si="6"/>
        <v>239.64604743083001</v>
      </c>
      <c r="L47" s="135">
        <f t="shared" si="6"/>
        <v>271.91104743083008</v>
      </c>
      <c r="M47" s="135">
        <f t="shared" si="6"/>
        <v>304.17604743083007</v>
      </c>
      <c r="N47" s="136">
        <f t="shared" si="6"/>
        <v>336.44104743083005</v>
      </c>
      <c r="O47" s="153"/>
      <c r="P47"/>
      <c r="Q47"/>
      <c r="R47"/>
      <c r="S47"/>
    </row>
    <row r="48" spans="1:19" ht="15" x14ac:dyDescent="0.25">
      <c r="A48" s="16"/>
      <c r="B48" s="17"/>
      <c r="C48" s="18"/>
      <c r="D48" s="18"/>
      <c r="F48" s="190">
        <f>F44+4*C37</f>
        <v>130</v>
      </c>
      <c r="G48" s="126">
        <f t="shared" si="7"/>
        <v>64.782000000000011</v>
      </c>
      <c r="H48" s="135">
        <f t="shared" si="6"/>
        <v>136.81605138339921</v>
      </c>
      <c r="I48" s="135">
        <f t="shared" si="6"/>
        <v>169.20705138339923</v>
      </c>
      <c r="J48" s="135">
        <f t="shared" si="6"/>
        <v>201.59805138339925</v>
      </c>
      <c r="K48" s="135">
        <f t="shared" si="6"/>
        <v>233.98905138339927</v>
      </c>
      <c r="L48" s="135">
        <f t="shared" si="6"/>
        <v>266.38005138339923</v>
      </c>
      <c r="M48" s="135">
        <f t="shared" si="6"/>
        <v>298.77105138339925</v>
      </c>
      <c r="N48" s="136">
        <f t="shared" si="6"/>
        <v>331.16205138339927</v>
      </c>
      <c r="O48" s="153"/>
      <c r="P48"/>
      <c r="Q48"/>
      <c r="R48"/>
      <c r="S48"/>
    </row>
    <row r="49" spans="1:24" ht="11.25" customHeight="1" x14ac:dyDescent="0.2">
      <c r="A49" s="16"/>
      <c r="B49" s="17"/>
      <c r="C49" s="18"/>
      <c r="D49" s="18"/>
      <c r="F49" s="180" t="s">
        <v>50</v>
      </c>
      <c r="G49" s="181"/>
      <c r="H49" s="181"/>
      <c r="I49" s="181"/>
      <c r="J49" s="181"/>
      <c r="K49" s="181"/>
      <c r="L49" s="181"/>
      <c r="M49" s="181"/>
      <c r="N49" s="182"/>
      <c r="O49" s="153"/>
      <c r="P49"/>
      <c r="Q49"/>
      <c r="R49"/>
      <c r="S49"/>
    </row>
    <row r="50" spans="1:24" ht="11.25" customHeight="1" x14ac:dyDescent="0.2">
      <c r="A50" s="16"/>
      <c r="B50" s="17"/>
      <c r="C50" s="18"/>
      <c r="D50" s="18"/>
      <c r="F50" s="183" t="s">
        <v>16</v>
      </c>
      <c r="G50" s="184"/>
      <c r="H50" s="184"/>
      <c r="I50" s="184"/>
      <c r="J50" s="184"/>
      <c r="K50" s="184"/>
      <c r="L50" s="184"/>
      <c r="M50" s="184"/>
      <c r="N50" s="185"/>
      <c r="O50" s="153"/>
      <c r="P50"/>
      <c r="Q50"/>
      <c r="R50"/>
      <c r="S50"/>
    </row>
    <row r="51" spans="1:24" ht="11.25" customHeight="1" x14ac:dyDescent="0.2">
      <c r="A51" s="16"/>
      <c r="B51" s="17"/>
      <c r="C51" s="18"/>
      <c r="D51" s="18"/>
      <c r="F51" s="183" t="s">
        <v>99</v>
      </c>
      <c r="G51" s="184"/>
      <c r="H51" s="184"/>
      <c r="I51" s="184"/>
      <c r="J51" s="184"/>
      <c r="K51" s="184"/>
      <c r="L51" s="184"/>
      <c r="M51" s="184"/>
      <c r="N51" s="185"/>
      <c r="O51" s="153"/>
      <c r="P51"/>
      <c r="Q51"/>
      <c r="R51"/>
      <c r="S51"/>
    </row>
    <row r="52" spans="1:24" ht="11.25" customHeight="1" x14ac:dyDescent="0.2">
      <c r="A52" s="16"/>
      <c r="B52" s="17"/>
      <c r="C52" s="18"/>
      <c r="D52" s="18"/>
      <c r="F52" s="79" t="s">
        <v>85</v>
      </c>
      <c r="G52" s="80"/>
      <c r="H52" s="80"/>
      <c r="I52" s="80"/>
      <c r="J52" s="80"/>
      <c r="K52" s="130"/>
      <c r="L52" s="130"/>
      <c r="M52" s="130"/>
      <c r="N52" s="166"/>
      <c r="O52" s="153"/>
      <c r="P52"/>
      <c r="Q52"/>
      <c r="R52"/>
      <c r="S52"/>
    </row>
    <row r="53" spans="1:24" ht="11.25" customHeight="1" thickBot="1" x14ac:dyDescent="0.25">
      <c r="A53" s="16"/>
      <c r="B53" s="17"/>
      <c r="C53" s="18"/>
      <c r="D53" s="18"/>
      <c r="F53" s="186" t="s">
        <v>38</v>
      </c>
      <c r="G53" s="187"/>
      <c r="H53" s="187"/>
      <c r="I53" s="187"/>
      <c r="J53" s="187"/>
      <c r="K53" s="168"/>
      <c r="L53" s="168"/>
      <c r="M53" s="168"/>
      <c r="N53" s="169"/>
      <c r="O53" s="153"/>
      <c r="P53"/>
      <c r="Q53"/>
      <c r="R53"/>
      <c r="S53"/>
    </row>
    <row r="54" spans="1:24" ht="11.25" customHeight="1" x14ac:dyDescent="0.2">
      <c r="A54" s="16"/>
      <c r="B54" s="17"/>
      <c r="C54" s="18"/>
      <c r="D54" s="18"/>
      <c r="E54" s="53"/>
      <c r="F54" s="53"/>
      <c r="G54" s="53"/>
      <c r="H54" s="53"/>
      <c r="I54" s="53"/>
      <c r="J54" s="53"/>
      <c r="K54" s="12"/>
      <c r="L54" s="12"/>
      <c r="M54" s="12"/>
      <c r="N54" s="15"/>
      <c r="O54" s="153"/>
      <c r="P54"/>
      <c r="Q54"/>
      <c r="R54"/>
      <c r="S54"/>
      <c r="T54"/>
      <c r="U54"/>
      <c r="V54"/>
      <c r="W54"/>
      <c r="X54"/>
    </row>
    <row r="55" spans="1:24" ht="11.25" customHeight="1" thickBot="1" x14ac:dyDescent="0.25">
      <c r="B55" s="252"/>
      <c r="C55" s="253"/>
      <c r="D55" s="253"/>
      <c r="E55" s="253"/>
      <c r="F55" s="253"/>
      <c r="G55" s="253"/>
      <c r="H55" s="253"/>
      <c r="I55" s="253"/>
      <c r="J55" s="253"/>
      <c r="K55" s="55"/>
      <c r="L55" s="55"/>
      <c r="M55" s="55"/>
      <c r="N55" s="56"/>
      <c r="O55" s="153"/>
      <c r="P55"/>
      <c r="Q55"/>
      <c r="R55"/>
      <c r="S55"/>
      <c r="T55"/>
      <c r="U55"/>
      <c r="V55"/>
      <c r="W55"/>
      <c r="X55"/>
    </row>
    <row r="56" spans="1:24" x14ac:dyDescent="0.2">
      <c r="O56" s="153"/>
      <c r="P56"/>
      <c r="Q56"/>
      <c r="R56"/>
      <c r="S56"/>
    </row>
  </sheetData>
  <sheetProtection password="CF3B" sheet="1" objects="1" scenarios="1"/>
  <mergeCells count="22">
    <mergeCell ref="B32:C32"/>
    <mergeCell ref="I33:M33"/>
    <mergeCell ref="G33:G35"/>
    <mergeCell ref="B55:J55"/>
    <mergeCell ref="H37:N37"/>
    <mergeCell ref="H38:N38"/>
    <mergeCell ref="H13:N13"/>
    <mergeCell ref="E24:N24"/>
    <mergeCell ref="B30:J30"/>
    <mergeCell ref="E25:N25"/>
    <mergeCell ref="E26:N26"/>
    <mergeCell ref="E28:N28"/>
    <mergeCell ref="E27:N27"/>
    <mergeCell ref="H12:N12"/>
    <mergeCell ref="G8:G10"/>
    <mergeCell ref="E5:G5"/>
    <mergeCell ref="B2:N2"/>
    <mergeCell ref="B3:N3"/>
    <mergeCell ref="B7:C7"/>
    <mergeCell ref="I8:M8"/>
    <mergeCell ref="H5:K5"/>
    <mergeCell ref="L5:N5"/>
  </mergeCells>
  <phoneticPr fontId="15" type="noConversion"/>
  <conditionalFormatting sqref="H15:H23">
    <cfRule type="cellIs" dxfId="511" priority="1" stopIfTrue="1" operator="between">
      <formula>MAX($H$15:$H$23)-0.5</formula>
      <formula>MAX($H$15:$H$23)+0.5</formula>
    </cfRule>
    <cfRule type="cellIs" dxfId="510" priority="2" stopIfTrue="1" operator="between">
      <formula>MAX($H$15:$H$23)-0.5</formula>
      <formula>MAX($H$15:$H$23)-1.5</formula>
    </cfRule>
    <cfRule type="cellIs" dxfId="509" priority="3" stopIfTrue="1" operator="between">
      <formula>MAX($H$15:$H$23)+0.5</formula>
      <formula>MAX($H$15:$H$23)+1.5</formula>
    </cfRule>
  </conditionalFormatting>
  <conditionalFormatting sqref="I15:I23">
    <cfRule type="cellIs" dxfId="508" priority="4" stopIfTrue="1" operator="between">
      <formula>MAX($I$15:$I$23)-0.5</formula>
      <formula>MAX($I$15:$I$23)+0.5</formula>
    </cfRule>
    <cfRule type="cellIs" dxfId="507" priority="5" stopIfTrue="1" operator="between">
      <formula>MAX($I$15:$I$23)-0.5</formula>
      <formula>MAX($I$15:$I$23)-1.5</formula>
    </cfRule>
    <cfRule type="cellIs" dxfId="506" priority="6" stopIfTrue="1" operator="between">
      <formula>MAX($I$15:$I$23)+0.5</formula>
      <formula>MAX($I$15:$I$23)+1.5</formula>
    </cfRule>
  </conditionalFormatting>
  <conditionalFormatting sqref="J15:J23">
    <cfRule type="cellIs" dxfId="505" priority="7" stopIfTrue="1" operator="between">
      <formula>MAX($J$15:$J$23)-0.5</formula>
      <formula>MAX($J$15:$J$23)+0.5</formula>
    </cfRule>
    <cfRule type="cellIs" dxfId="504" priority="8" stopIfTrue="1" operator="between">
      <formula>MAX($J$15:$J$23)-0.5</formula>
      <formula>MAX($J$15:$J$23)-1.5</formula>
    </cfRule>
    <cfRule type="cellIs" dxfId="503" priority="9" stopIfTrue="1" operator="between">
      <formula>MAX($J$15:$J$23)+0.5</formula>
      <formula>MAX($J$15:$J$23)+1.5</formula>
    </cfRule>
  </conditionalFormatting>
  <conditionalFormatting sqref="K15:K23">
    <cfRule type="cellIs" dxfId="502" priority="10" stopIfTrue="1" operator="between">
      <formula>MAX($K$15:$K$23)-0.5</formula>
      <formula>MAX($K$15:$K$23)+0.5</formula>
    </cfRule>
    <cfRule type="cellIs" dxfId="501" priority="11" stopIfTrue="1" operator="between">
      <formula>MAX($K$15:$K$23)-0.5</formula>
      <formula>MAX($K$15:$K$23)-1.5</formula>
    </cfRule>
    <cfRule type="cellIs" dxfId="500" priority="12" stopIfTrue="1" operator="between">
      <formula>MAX($K$15:$K$23)+0.5</formula>
      <formula>MAX($K$15:$K$23)+1.5</formula>
    </cfRule>
  </conditionalFormatting>
  <conditionalFormatting sqref="L15:L23">
    <cfRule type="cellIs" dxfId="499" priority="13" stopIfTrue="1" operator="between">
      <formula>MAX($L$15:$L$23)-0.5</formula>
      <formula>MAX($L$15:$L$23)+0.5</formula>
    </cfRule>
    <cfRule type="cellIs" dxfId="498" priority="14" stopIfTrue="1" operator="between">
      <formula>MAX($L$15:$L$23)-0.5</formula>
      <formula>MAX($L$15:$L$23)-1.5</formula>
    </cfRule>
    <cfRule type="cellIs" dxfId="497" priority="15" stopIfTrue="1" operator="between">
      <formula>MAX($L$15:$L$23)+0.5</formula>
      <formula>MAX($L$15:$L$23)+1.5</formula>
    </cfRule>
  </conditionalFormatting>
  <conditionalFormatting sqref="M15:M23">
    <cfRule type="cellIs" dxfId="496" priority="16" stopIfTrue="1" operator="between">
      <formula>MAX($M$15:$M$23)-0.5</formula>
      <formula>MAX($M$15:$M$23)+0.5</formula>
    </cfRule>
    <cfRule type="cellIs" dxfId="495" priority="17" stopIfTrue="1" operator="between">
      <formula>MAX($M$15:$M$23)-0.5</formula>
      <formula>MAX($M$15:$M$23)-1.5</formula>
    </cfRule>
    <cfRule type="cellIs" dxfId="494" priority="18" stopIfTrue="1" operator="between">
      <formula>MAX($M$15:$M$23)=0.5</formula>
      <formula>MAX($M$15:$M$23)+1.5</formula>
    </cfRule>
  </conditionalFormatting>
  <conditionalFormatting sqref="N15:N23">
    <cfRule type="cellIs" dxfId="493" priority="19" stopIfTrue="1" operator="between">
      <formula>MAX($N$15:$N$23)-0.5</formula>
      <formula>MAX($N$15:$N$23)+0.5</formula>
    </cfRule>
    <cfRule type="cellIs" dxfId="492" priority="20" stopIfTrue="1" operator="between">
      <formula>MAX($N$15:$N$23)-0.5</formula>
      <formula>MAX($N$15:$N$23)-1.5</formula>
    </cfRule>
    <cfRule type="cellIs" dxfId="491" priority="21" stopIfTrue="1" operator="between">
      <formula>MAX($N$15:$N$23)+0.5</formula>
      <formula>MAX($N$15:$N$23)+1.5</formula>
    </cfRule>
  </conditionalFormatting>
  <conditionalFormatting sqref="H40:H48">
    <cfRule type="cellIs" dxfId="490" priority="22" stopIfTrue="1" operator="between">
      <formula>MAX($H$40:$H$48)-0.5</formula>
      <formula>MAX($H$40:$H$48)+0.5</formula>
    </cfRule>
    <cfRule type="cellIs" dxfId="489" priority="23" stopIfTrue="1" operator="between">
      <formula>MAX($H$40:$H$48)-0.5</formula>
      <formula>MAX($H$40:$H$48)-1.5</formula>
    </cfRule>
    <cfRule type="cellIs" dxfId="488" priority="24" stopIfTrue="1" operator="between">
      <formula>MAX($H$40:$H$48+0.5)</formula>
      <formula>MAX($H$40:$H$48)+1.5</formula>
    </cfRule>
  </conditionalFormatting>
  <conditionalFormatting sqref="I40:I48">
    <cfRule type="cellIs" dxfId="487" priority="25" stopIfTrue="1" operator="between">
      <formula>MAX($I$40:$I$55)-0.5</formula>
      <formula>MAX($I$40:$I$55)+0.5</formula>
    </cfRule>
    <cfRule type="cellIs" dxfId="486" priority="26" stopIfTrue="1" operator="between">
      <formula>MAX($I$40:$I$55)-0.5</formula>
      <formula>MAX($I$40:$I$55)-1.5</formula>
    </cfRule>
    <cfRule type="cellIs" dxfId="485" priority="27" stopIfTrue="1" operator="between">
      <formula>MAX($I$40:$I$55)+0.5</formula>
      <formula>MAX($I$40:$I$55)+1.5</formula>
    </cfRule>
  </conditionalFormatting>
  <conditionalFormatting sqref="J40:J48">
    <cfRule type="cellIs" dxfId="484" priority="28" stopIfTrue="1" operator="between">
      <formula>MAX($J$40:$J$55)-0.5</formula>
      <formula>MAX($J$40:$J$55)+0.5</formula>
    </cfRule>
    <cfRule type="cellIs" dxfId="483" priority="29" stopIfTrue="1" operator="between">
      <formula>MAX($J$40:$J$55)-0.5</formula>
      <formula>MAX($J$40:$J$55)-1.5</formula>
    </cfRule>
    <cfRule type="cellIs" dxfId="482" priority="30" stopIfTrue="1" operator="between">
      <formula>MAX($J$40:$J$55)+0.5</formula>
      <formula>MAX($J$40:$J$55)+1.5</formula>
    </cfRule>
  </conditionalFormatting>
  <conditionalFormatting sqref="K40:K48">
    <cfRule type="cellIs" dxfId="481" priority="31" stopIfTrue="1" operator="between">
      <formula>MAX($K$40:$K$55)-0.5</formula>
      <formula>MAX($K$40:$K$55)+0.5</formula>
    </cfRule>
    <cfRule type="cellIs" dxfId="480" priority="32" stopIfTrue="1" operator="between">
      <formula>MAX($K$40:$K$55)-0.5</formula>
      <formula>MAX($K$40:$K$55)-1.5</formula>
    </cfRule>
    <cfRule type="cellIs" dxfId="479" priority="33" stopIfTrue="1" operator="between">
      <formula>MAX($K$40:$K$55)+0.5</formula>
      <formula>MAX($K$40:$K$55)+1.5</formula>
    </cfRule>
  </conditionalFormatting>
  <conditionalFormatting sqref="L40:L48">
    <cfRule type="cellIs" dxfId="478" priority="34" stopIfTrue="1" operator="between">
      <formula>MAX($L$40:$L$55)-0.5</formula>
      <formula>MAX($L$40:$L$55)+0.5</formula>
    </cfRule>
    <cfRule type="cellIs" dxfId="477" priority="35" stopIfTrue="1" operator="between">
      <formula>MAX($L$40:$L$55)-0.5</formula>
      <formula>MAX($L$40:$L$55)-1.5</formula>
    </cfRule>
    <cfRule type="cellIs" dxfId="476" priority="36" stopIfTrue="1" operator="between">
      <formula>MAX($L$40:$L$55)+0.5</formula>
      <formula>MAX($L$40:$L$55)+1.5</formula>
    </cfRule>
  </conditionalFormatting>
  <conditionalFormatting sqref="M40:M48">
    <cfRule type="cellIs" dxfId="475" priority="37" stopIfTrue="1" operator="between">
      <formula>MAX($M$40:$M$55)-0.5</formula>
      <formula>MAX($M$40:$M$55)+0.5</formula>
    </cfRule>
    <cfRule type="cellIs" dxfId="474" priority="38" stopIfTrue="1" operator="between">
      <formula>MAX($M$40:$M$55)-0.5</formula>
      <formula>MAX($M$40:$M$55)-1.5</formula>
    </cfRule>
    <cfRule type="cellIs" dxfId="473" priority="39" stopIfTrue="1" operator="between">
      <formula>MAX($M$40:$M$55)+0.5</formula>
      <formula>MAX($M$40:$M$55)+1.5</formula>
    </cfRule>
  </conditionalFormatting>
  <conditionalFormatting sqref="N40:N48">
    <cfRule type="cellIs" dxfId="472" priority="40" stopIfTrue="1" operator="between">
      <formula>MAX($N$40:$N$55)-0.5</formula>
      <formula>MAX($N$40:$N$55)+0.5</formula>
    </cfRule>
    <cfRule type="cellIs" dxfId="471" priority="41" stopIfTrue="1" operator="between">
      <formula>MAX($N$40:$N$55)-0.5</formula>
      <formula>MAX($N$40:$N$55)-1.5</formula>
    </cfRule>
    <cfRule type="cellIs" dxfId="470" priority="42" stopIfTrue="1" operator="between">
      <formula>MAX($N$40:$N$55)+0.5</formula>
      <formula>MAX($N$40:$N$55)+1.5</formula>
    </cfRule>
  </conditionalFormatting>
  <hyperlinks>
    <hyperlink ref="E5:G5" location="'Wheat (Moist) MR'!A1" display="Go to Marginal Revenue  Chart"/>
    <hyperlink ref="H5:J5" location="'Wheat (Moist) Fertilizer'!A1" display="Go to Fertilizer Price as variable"/>
    <hyperlink ref="L5" location="'Data Entry'!A1" display="Return to Data Entry"/>
    <hyperlink ref="G8" location="'Wheat crop price'!D47" display="Go to Total Net Return"/>
    <hyperlink ref="G8:G10" location="'Wheat (Moist) Crop'!D53" display="Go to Total Net Return Below"/>
    <hyperlink ref="G33" location="'Wheat crop price'!D47" display="Go to Total Net Return"/>
    <hyperlink ref="G33:G35" location="'Wheat (Moist) Crop'!D1" display="Return to Net Return"/>
  </hyperlinks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showGridLines="0" workbookViewId="0">
      <selection activeCell="G21" sqref="G21"/>
    </sheetView>
  </sheetViews>
  <sheetFormatPr defaultRowHeight="12.75" x14ac:dyDescent="0.2"/>
  <cols>
    <col min="1" max="1" width="1.5703125" style="10" customWidth="1"/>
    <col min="2" max="2" width="17.140625" style="10" customWidth="1"/>
    <col min="3" max="3" width="9.140625" style="10"/>
    <col min="4" max="4" width="11.140625" style="10" customWidth="1"/>
    <col min="5" max="5" width="9.140625" style="10"/>
    <col min="6" max="6" width="9.42578125" style="10" customWidth="1"/>
    <col min="7" max="7" width="13.5703125" style="10" customWidth="1"/>
    <col min="8" max="14" width="9.140625" style="10"/>
    <col min="15" max="15" width="11.28515625" style="154" customWidth="1"/>
    <col min="16" max="16" width="10.28515625" style="10" customWidth="1"/>
    <col min="17" max="16384" width="9.140625" style="10"/>
  </cols>
  <sheetData>
    <row r="1" spans="1:19" ht="6" customHeight="1" thickBot="1" x14ac:dyDescent="0.25">
      <c r="B1" s="11"/>
      <c r="C1" s="11"/>
      <c r="D1" s="11"/>
      <c r="E1" s="11"/>
      <c r="F1" s="11"/>
      <c r="G1" s="11"/>
      <c r="H1" s="11"/>
      <c r="I1" s="11"/>
      <c r="J1" s="11"/>
      <c r="O1" s="204"/>
      <c r="P1" s="204"/>
      <c r="Q1" s="204"/>
    </row>
    <row r="2" spans="1:19" ht="20.25" x14ac:dyDescent="0.3">
      <c r="A2" s="11"/>
      <c r="B2" s="234" t="s">
        <v>40</v>
      </c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6"/>
    </row>
    <row r="3" spans="1:19" ht="20.25" x14ac:dyDescent="0.3">
      <c r="A3" s="11"/>
      <c r="B3" s="237" t="s">
        <v>48</v>
      </c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9"/>
    </row>
    <row r="4" spans="1:19" ht="6.75" customHeight="1" x14ac:dyDescent="0.3">
      <c r="A4" s="11"/>
      <c r="B4" s="13"/>
      <c r="C4" s="14"/>
      <c r="D4" s="14"/>
      <c r="E4" s="14"/>
      <c r="F4" s="14"/>
      <c r="G4" s="14"/>
      <c r="H4" s="14"/>
      <c r="I4" s="14"/>
      <c r="J4" s="14"/>
      <c r="K4" s="12"/>
      <c r="L4" s="12"/>
      <c r="M4" s="12"/>
      <c r="N4" s="15"/>
      <c r="O4" s="205"/>
      <c r="P4" s="206"/>
      <c r="Q4" s="206"/>
    </row>
    <row r="5" spans="1:19" x14ac:dyDescent="0.2">
      <c r="B5" s="198"/>
      <c r="C5" s="199"/>
      <c r="D5" s="199"/>
      <c r="E5" s="233" t="s">
        <v>110</v>
      </c>
      <c r="F5" s="233"/>
      <c r="G5" s="233"/>
      <c r="H5" s="233" t="s">
        <v>119</v>
      </c>
      <c r="I5" s="233"/>
      <c r="J5" s="233"/>
      <c r="K5" s="276"/>
      <c r="L5" s="245" t="s">
        <v>96</v>
      </c>
      <c r="M5" s="244"/>
      <c r="N5" s="246"/>
      <c r="P5" s="206"/>
      <c r="Q5" s="206"/>
    </row>
    <row r="6" spans="1:19" ht="4.5" customHeight="1" thickBot="1" x14ac:dyDescent="0.25">
      <c r="A6" s="16"/>
      <c r="B6" s="17"/>
      <c r="C6" s="18"/>
      <c r="D6" s="18"/>
      <c r="E6" s="18"/>
      <c r="F6" s="18"/>
      <c r="G6" s="18"/>
      <c r="H6" s="18"/>
      <c r="I6" s="18"/>
      <c r="J6" s="18"/>
      <c r="K6" s="12"/>
      <c r="L6" s="12"/>
      <c r="M6" s="12"/>
      <c r="N6" s="15"/>
      <c r="O6" s="205"/>
      <c r="P6" s="206"/>
      <c r="Q6" s="206"/>
    </row>
    <row r="7" spans="1:19" ht="15.75" customHeight="1" thickBot="1" x14ac:dyDescent="0.3">
      <c r="A7" s="16"/>
      <c r="B7" s="240" t="s">
        <v>39</v>
      </c>
      <c r="C7" s="241"/>
      <c r="E7" s="18"/>
      <c r="F7" s="18"/>
      <c r="G7" s="18"/>
      <c r="H7" s="18"/>
      <c r="I7" s="19"/>
      <c r="J7" s="18"/>
      <c r="K7" s="19"/>
      <c r="L7" s="12"/>
      <c r="M7" s="12"/>
      <c r="N7" s="15"/>
      <c r="O7" s="207"/>
      <c r="P7" s="204"/>
      <c r="Q7" s="204"/>
    </row>
    <row r="8" spans="1:19" ht="15" customHeight="1" x14ac:dyDescent="0.25">
      <c r="A8" s="16"/>
      <c r="B8" s="87" t="s">
        <v>1</v>
      </c>
      <c r="C8" s="21" t="str">
        <f>'Data Entry'!C7</f>
        <v>UREA</v>
      </c>
      <c r="D8" s="18"/>
      <c r="E8" s="22"/>
      <c r="F8" s="63"/>
      <c r="G8" s="231" t="s">
        <v>100</v>
      </c>
      <c r="H8" s="23"/>
      <c r="I8" s="274" t="s">
        <v>17</v>
      </c>
      <c r="J8" s="275"/>
      <c r="K8" s="275"/>
      <c r="L8" s="275"/>
      <c r="M8" s="275"/>
      <c r="N8" s="24"/>
      <c r="O8" s="207"/>
      <c r="P8" s="204"/>
      <c r="Q8" s="204"/>
    </row>
    <row r="9" spans="1:19" ht="15" x14ac:dyDescent="0.2">
      <c r="A9" s="16"/>
      <c r="B9" s="20" t="s">
        <v>3</v>
      </c>
      <c r="C9" s="59">
        <f>'Data Entry'!C8</f>
        <v>700</v>
      </c>
      <c r="D9" s="18"/>
      <c r="E9" s="17"/>
      <c r="F9" s="66"/>
      <c r="G9" s="232"/>
      <c r="H9" s="18"/>
      <c r="I9" s="19"/>
      <c r="J9" s="18"/>
      <c r="K9" s="19"/>
      <c r="L9" s="12"/>
      <c r="M9" s="12"/>
      <c r="N9" s="15"/>
      <c r="O9" s="155"/>
    </row>
    <row r="10" spans="1:19" ht="15" x14ac:dyDescent="0.25">
      <c r="A10" s="16"/>
      <c r="B10" s="20" t="s">
        <v>4</v>
      </c>
      <c r="C10" s="25">
        <f>'Data Entry'!C9</f>
        <v>46</v>
      </c>
      <c r="D10" s="18"/>
      <c r="E10" s="17"/>
      <c r="F10" s="66"/>
      <c r="G10" s="232"/>
      <c r="H10" s="26">
        <f>K10-C14*3</f>
        <v>3.5</v>
      </c>
      <c r="I10" s="26">
        <f>K10-C14*2</f>
        <v>4</v>
      </c>
      <c r="J10" s="26">
        <f>K10-C14</f>
        <v>4.5</v>
      </c>
      <c r="K10" s="27">
        <f>'Data Entry'!F14</f>
        <v>5</v>
      </c>
      <c r="L10" s="26">
        <f>K10+C14</f>
        <v>5.5</v>
      </c>
      <c r="M10" s="26">
        <f>K10+C14*2</f>
        <v>6</v>
      </c>
      <c r="N10" s="28">
        <f>K10+C14*3</f>
        <v>6.5</v>
      </c>
      <c r="O10" s="155"/>
    </row>
    <row r="11" spans="1:19" ht="15" x14ac:dyDescent="0.25">
      <c r="A11" s="16"/>
      <c r="B11" s="20" t="s">
        <v>5</v>
      </c>
      <c r="C11" s="61">
        <f>(C9/((C10/100)*2200))</f>
        <v>0.69169960474308301</v>
      </c>
      <c r="D11" s="18"/>
      <c r="E11" s="17"/>
      <c r="F11" s="66"/>
      <c r="G11" s="29" t="s">
        <v>6</v>
      </c>
      <c r="H11" s="18"/>
      <c r="I11" s="18"/>
      <c r="J11" s="18"/>
      <c r="K11" s="12"/>
      <c r="L11" s="12"/>
      <c r="M11" s="12"/>
      <c r="N11" s="15"/>
      <c r="O11" s="155"/>
    </row>
    <row r="12" spans="1:19" ht="15" x14ac:dyDescent="0.25">
      <c r="A12" s="16"/>
      <c r="B12" s="30" t="s">
        <v>20</v>
      </c>
      <c r="C12" s="31">
        <f>'Data Entry'!C11</f>
        <v>10</v>
      </c>
      <c r="D12" s="18"/>
      <c r="E12" s="32"/>
      <c r="F12" s="70" t="s">
        <v>67</v>
      </c>
      <c r="G12" s="29" t="s">
        <v>7</v>
      </c>
      <c r="H12" s="269" t="s">
        <v>8</v>
      </c>
      <c r="I12" s="269"/>
      <c r="J12" s="269"/>
      <c r="K12" s="269"/>
      <c r="L12" s="269"/>
      <c r="M12" s="269"/>
      <c r="N12" s="270"/>
      <c r="O12" s="153"/>
      <c r="P12"/>
      <c r="Q12"/>
      <c r="R12"/>
      <c r="S12"/>
    </row>
    <row r="13" spans="1:19" ht="15.75" thickBot="1" x14ac:dyDescent="0.3">
      <c r="A13" s="16"/>
      <c r="B13" s="33" t="s">
        <v>106</v>
      </c>
      <c r="C13" s="34"/>
      <c r="D13" s="18"/>
      <c r="E13" s="35" t="s">
        <v>9</v>
      </c>
      <c r="F13" s="73" t="s">
        <v>68</v>
      </c>
      <c r="G13" s="36" t="s">
        <v>10</v>
      </c>
      <c r="H13" s="247" t="s">
        <v>18</v>
      </c>
      <c r="I13" s="247"/>
      <c r="J13" s="247"/>
      <c r="K13" s="247"/>
      <c r="L13" s="247"/>
      <c r="M13" s="247"/>
      <c r="N13" s="248"/>
      <c r="O13" s="153"/>
      <c r="P13"/>
      <c r="Q13"/>
      <c r="R13"/>
      <c r="S13"/>
    </row>
    <row r="14" spans="1:19" ht="15" x14ac:dyDescent="0.25">
      <c r="A14" s="16"/>
      <c r="B14" s="37" t="s">
        <v>108</v>
      </c>
      <c r="C14" s="57">
        <f>'Data Entry'!C13</f>
        <v>0.5</v>
      </c>
      <c r="D14" s="18"/>
      <c r="E14" s="39" t="s">
        <v>11</v>
      </c>
      <c r="F14" s="75" t="s">
        <v>12</v>
      </c>
      <c r="G14" s="40" t="s">
        <v>12</v>
      </c>
      <c r="H14" s="41">
        <f t="shared" ref="H14:N14" si="0">H10/$C$11</f>
        <v>5.0599999999999996</v>
      </c>
      <c r="I14" s="41">
        <f t="shared" si="0"/>
        <v>5.7828571428571429</v>
      </c>
      <c r="J14" s="41">
        <f t="shared" si="0"/>
        <v>6.5057142857142853</v>
      </c>
      <c r="K14" s="41">
        <f t="shared" si="0"/>
        <v>7.2285714285714286</v>
      </c>
      <c r="L14" s="41">
        <f t="shared" si="0"/>
        <v>7.9514285714285711</v>
      </c>
      <c r="M14" s="41">
        <f t="shared" si="0"/>
        <v>8.6742857142857144</v>
      </c>
      <c r="N14" s="42">
        <f t="shared" si="0"/>
        <v>9.3971428571428568</v>
      </c>
      <c r="O14" s="153"/>
      <c r="P14"/>
      <c r="Q14"/>
      <c r="R14"/>
      <c r="S14"/>
    </row>
    <row r="15" spans="1:19" ht="15" x14ac:dyDescent="0.25">
      <c r="A15" s="16"/>
      <c r="B15" s="43" t="s">
        <v>28</v>
      </c>
      <c r="C15" s="34"/>
      <c r="D15" s="18"/>
      <c r="E15" s="44">
        <f>IF((E19-4*$C$12)&lt;0,0,(E19-4*$C$12))</f>
        <v>30</v>
      </c>
      <c r="F15" s="126">
        <f>G15+(-0.0013*($C$16)^2 + 0.4159*($C$16))+14.22</f>
        <v>34.494</v>
      </c>
      <c r="G15" s="126">
        <f>IF(((-0.0013*(E15+$C$16)^2 + 0.4159*(E15+$C$16))-(-0.0013*($C$16)^2 + 0.4159*($C$16)))&lt;0,0,(-0.0013*(E15+$C$16)^2 +0.4159*(E15+$C$16))-(-0.0013*($C$16)^2 + 0.4159*($C$16)))</f>
        <v>8.9670000000000005</v>
      </c>
      <c r="H15" s="135">
        <f t="shared" ref="H15:N23" si="1">(H$10*$G15)-($C$11*($E15))</f>
        <v>10.633511857707511</v>
      </c>
      <c r="I15" s="135">
        <f t="shared" si="1"/>
        <v>15.11701185770751</v>
      </c>
      <c r="J15" s="135">
        <f t="shared" si="1"/>
        <v>19.600511857707509</v>
      </c>
      <c r="K15" s="135">
        <f t="shared" si="1"/>
        <v>24.084011857707509</v>
      </c>
      <c r="L15" s="135">
        <f t="shared" si="1"/>
        <v>28.567511857707508</v>
      </c>
      <c r="M15" s="135">
        <f t="shared" si="1"/>
        <v>33.051011857707515</v>
      </c>
      <c r="N15" s="136">
        <f t="shared" si="1"/>
        <v>37.534511857707514</v>
      </c>
      <c r="O15" s="153"/>
      <c r="P15"/>
      <c r="Q15"/>
      <c r="R15"/>
      <c r="S15"/>
    </row>
    <row r="16" spans="1:19" ht="15" x14ac:dyDescent="0.25">
      <c r="A16" s="16"/>
      <c r="B16" s="37" t="s">
        <v>29</v>
      </c>
      <c r="C16" s="45">
        <f>'Data Entry'!C15</f>
        <v>30</v>
      </c>
      <c r="D16" s="18"/>
      <c r="E16" s="44">
        <f>IF((E20-4*$C$12)&lt;0,0,(E20-4*$C$12))</f>
        <v>40</v>
      </c>
      <c r="F16" s="126">
        <f t="shared" ref="F16:F23" si="2">G16+(-0.0013*($C$16)^2 + 0.4159*($C$16))+14.22</f>
        <v>36.963000000000001</v>
      </c>
      <c r="G16" s="126">
        <f t="shared" ref="G16:G23" si="3">IF(((-0.0013*(E16+$C$16)^2 + 0.4159*(E16+$C$16))-(-0.0013*($C$16)^2 + 0.4159*($C$16)))&lt;0,0,(-0.0013*(E16+$C$16)^2 +0.4159*(E16+$C$16))-(-0.0013*($C$16)^2 + 0.4159*($C$16)))</f>
        <v>11.435999999999998</v>
      </c>
      <c r="H16" s="135">
        <f t="shared" si="1"/>
        <v>12.358015810276676</v>
      </c>
      <c r="I16" s="135">
        <f t="shared" si="1"/>
        <v>18.076015810276672</v>
      </c>
      <c r="J16" s="135">
        <f t="shared" si="1"/>
        <v>23.794015810276669</v>
      </c>
      <c r="K16" s="135">
        <f t="shared" si="1"/>
        <v>29.512015810276672</v>
      </c>
      <c r="L16" s="135">
        <f t="shared" si="1"/>
        <v>35.230015810276669</v>
      </c>
      <c r="M16" s="135">
        <f t="shared" si="1"/>
        <v>40.948015810276665</v>
      </c>
      <c r="N16" s="136">
        <f t="shared" si="1"/>
        <v>46.666015810276669</v>
      </c>
      <c r="O16" s="153"/>
      <c r="P16"/>
      <c r="Q16"/>
      <c r="R16"/>
      <c r="S16"/>
    </row>
    <row r="17" spans="1:19" ht="15" x14ac:dyDescent="0.25">
      <c r="A17" s="16"/>
      <c r="B17" s="43" t="s">
        <v>30</v>
      </c>
      <c r="C17" s="46"/>
      <c r="D17" s="18"/>
      <c r="E17" s="44">
        <f>IF((E21-4*$C$12)&lt;0,0,(E21-4*$C$12))</f>
        <v>50</v>
      </c>
      <c r="F17" s="126">
        <f t="shared" si="2"/>
        <v>39.171999999999997</v>
      </c>
      <c r="G17" s="126">
        <f t="shared" si="3"/>
        <v>13.644999999999998</v>
      </c>
      <c r="H17" s="135">
        <f t="shared" si="1"/>
        <v>13.172519762845845</v>
      </c>
      <c r="I17" s="135">
        <f t="shared" si="1"/>
        <v>19.995019762845843</v>
      </c>
      <c r="J17" s="135">
        <f t="shared" si="1"/>
        <v>26.817519762845841</v>
      </c>
      <c r="K17" s="135">
        <f t="shared" si="1"/>
        <v>33.640019762845846</v>
      </c>
      <c r="L17" s="135">
        <f t="shared" si="1"/>
        <v>40.462519762845837</v>
      </c>
      <c r="M17" s="135">
        <f t="shared" si="1"/>
        <v>47.285019762845842</v>
      </c>
      <c r="N17" s="136">
        <f t="shared" si="1"/>
        <v>54.107519762845833</v>
      </c>
      <c r="O17" s="153"/>
      <c r="P17"/>
      <c r="Q17"/>
      <c r="R17"/>
      <c r="S17"/>
    </row>
    <row r="18" spans="1:19" ht="15.75" thickBot="1" x14ac:dyDescent="0.3">
      <c r="A18" s="16"/>
      <c r="B18" s="17"/>
      <c r="C18" s="18"/>
      <c r="D18" s="18"/>
      <c r="E18" s="44">
        <f>IF((E22-4*$C$12)&lt;0,0,(E22-4*$C$12))</f>
        <v>60</v>
      </c>
      <c r="F18" s="126">
        <f t="shared" si="2"/>
        <v>41.120999999999995</v>
      </c>
      <c r="G18" s="126">
        <f t="shared" si="3"/>
        <v>15.593999999999996</v>
      </c>
      <c r="H18" s="135">
        <f t="shared" si="1"/>
        <v>13.077023715415002</v>
      </c>
      <c r="I18" s="135">
        <f t="shared" si="1"/>
        <v>20.874023715414999</v>
      </c>
      <c r="J18" s="135">
        <f t="shared" si="1"/>
        <v>28.671023715415004</v>
      </c>
      <c r="K18" s="135">
        <f t="shared" si="1"/>
        <v>36.468023715415001</v>
      </c>
      <c r="L18" s="135">
        <f t="shared" si="1"/>
        <v>44.265023715414998</v>
      </c>
      <c r="M18" s="135">
        <f t="shared" si="1"/>
        <v>52.062023715414995</v>
      </c>
      <c r="N18" s="136">
        <f t="shared" si="1"/>
        <v>59.859023715414992</v>
      </c>
      <c r="O18" s="153"/>
      <c r="P18"/>
      <c r="Q18"/>
      <c r="R18"/>
      <c r="S18"/>
    </row>
    <row r="19" spans="1:19" ht="15.75" thickBot="1" x14ac:dyDescent="0.3">
      <c r="A19" s="16"/>
      <c r="B19" s="47"/>
      <c r="C19" s="48"/>
      <c r="D19" s="49" t="s">
        <v>13</v>
      </c>
      <c r="E19" s="50">
        <f>'Data Entry'!G9</f>
        <v>70</v>
      </c>
      <c r="F19" s="126">
        <f t="shared" si="2"/>
        <v>42.809999999999995</v>
      </c>
      <c r="G19" s="126">
        <f t="shared" si="3"/>
        <v>17.282999999999994</v>
      </c>
      <c r="H19" s="135">
        <f t="shared" si="1"/>
        <v>12.071527667984171</v>
      </c>
      <c r="I19" s="135">
        <f t="shared" si="1"/>
        <v>20.713027667984164</v>
      </c>
      <c r="J19" s="135">
        <f t="shared" si="1"/>
        <v>29.354527667984158</v>
      </c>
      <c r="K19" s="135">
        <f t="shared" si="1"/>
        <v>37.996027667984151</v>
      </c>
      <c r="L19" s="135">
        <f t="shared" si="1"/>
        <v>46.637527667984159</v>
      </c>
      <c r="M19" s="135">
        <f t="shared" si="1"/>
        <v>55.279027667984153</v>
      </c>
      <c r="N19" s="136">
        <f t="shared" si="1"/>
        <v>63.920527667984146</v>
      </c>
      <c r="O19" s="153"/>
      <c r="P19"/>
      <c r="Q19"/>
      <c r="R19"/>
      <c r="S19"/>
    </row>
    <row r="20" spans="1:19" ht="15" x14ac:dyDescent="0.25">
      <c r="A20" s="16"/>
      <c r="B20" s="17"/>
      <c r="C20" s="18"/>
      <c r="D20" s="18"/>
      <c r="E20" s="51">
        <f>E19+C12</f>
        <v>80</v>
      </c>
      <c r="F20" s="126">
        <f t="shared" si="2"/>
        <v>44.239000000000004</v>
      </c>
      <c r="G20" s="126">
        <f t="shared" si="3"/>
        <v>18.712000000000003</v>
      </c>
      <c r="H20" s="135">
        <f t="shared" si="1"/>
        <v>10.156031620553378</v>
      </c>
      <c r="I20" s="135">
        <f t="shared" si="1"/>
        <v>19.512031620553373</v>
      </c>
      <c r="J20" s="135">
        <f t="shared" si="1"/>
        <v>28.868031620553367</v>
      </c>
      <c r="K20" s="135">
        <f t="shared" si="1"/>
        <v>38.224031620553376</v>
      </c>
      <c r="L20" s="135">
        <f t="shared" si="1"/>
        <v>47.580031620553385</v>
      </c>
      <c r="M20" s="135">
        <f t="shared" si="1"/>
        <v>56.936031620553379</v>
      </c>
      <c r="N20" s="136">
        <f t="shared" si="1"/>
        <v>66.292031620553374</v>
      </c>
      <c r="O20" s="153"/>
      <c r="P20"/>
      <c r="Q20"/>
      <c r="R20"/>
      <c r="S20"/>
    </row>
    <row r="21" spans="1:19" ht="15" x14ac:dyDescent="0.25">
      <c r="A21" s="16"/>
      <c r="B21" s="17"/>
      <c r="C21" s="52"/>
      <c r="D21" s="18"/>
      <c r="E21" s="51">
        <f>E19+2*C12</f>
        <v>90</v>
      </c>
      <c r="F21" s="126">
        <f t="shared" si="2"/>
        <v>45.408000000000001</v>
      </c>
      <c r="G21" s="126">
        <f t="shared" si="3"/>
        <v>19.881</v>
      </c>
      <c r="H21" s="135">
        <f t="shared" si="1"/>
        <v>7.3305355731225319</v>
      </c>
      <c r="I21" s="135">
        <f t="shared" si="1"/>
        <v>17.271035573122532</v>
      </c>
      <c r="J21" s="135">
        <f t="shared" si="1"/>
        <v>27.211535573122532</v>
      </c>
      <c r="K21" s="135">
        <f t="shared" si="1"/>
        <v>37.152035573122532</v>
      </c>
      <c r="L21" s="135">
        <f t="shared" si="1"/>
        <v>47.092535573122532</v>
      </c>
      <c r="M21" s="135">
        <f t="shared" si="1"/>
        <v>57.033035573122532</v>
      </c>
      <c r="N21" s="136">
        <f t="shared" si="1"/>
        <v>66.973535573122518</v>
      </c>
      <c r="O21" s="153"/>
      <c r="P21"/>
      <c r="Q21"/>
      <c r="R21"/>
      <c r="S21"/>
    </row>
    <row r="22" spans="1:19" ht="15" x14ac:dyDescent="0.25">
      <c r="A22" s="16"/>
      <c r="B22" s="17"/>
      <c r="C22" s="18"/>
      <c r="D22" s="18"/>
      <c r="E22" s="51">
        <f>E19+3*C12</f>
        <v>100</v>
      </c>
      <c r="F22" s="126">
        <f t="shared" si="2"/>
        <v>46.317</v>
      </c>
      <c r="G22" s="126">
        <f t="shared" si="3"/>
        <v>20.79</v>
      </c>
      <c r="H22" s="135">
        <f t="shared" si="1"/>
        <v>3.5950395256917034</v>
      </c>
      <c r="I22" s="135">
        <f t="shared" si="1"/>
        <v>13.990039525691699</v>
      </c>
      <c r="J22" s="135">
        <f t="shared" si="1"/>
        <v>24.385039525691695</v>
      </c>
      <c r="K22" s="135">
        <f t="shared" si="1"/>
        <v>34.780039525691691</v>
      </c>
      <c r="L22" s="135">
        <f t="shared" si="1"/>
        <v>45.175039525691702</v>
      </c>
      <c r="M22" s="135">
        <f t="shared" si="1"/>
        <v>55.570039525691698</v>
      </c>
      <c r="N22" s="136">
        <f t="shared" si="1"/>
        <v>65.965039525691694</v>
      </c>
      <c r="O22" s="153"/>
      <c r="P22"/>
      <c r="Q22"/>
      <c r="R22"/>
      <c r="S22"/>
    </row>
    <row r="23" spans="1:19" ht="15" x14ac:dyDescent="0.25">
      <c r="A23" s="16"/>
      <c r="B23" s="17"/>
      <c r="C23" s="18"/>
      <c r="D23" s="18"/>
      <c r="E23" s="51">
        <f>E19+4*C12</f>
        <v>110</v>
      </c>
      <c r="F23" s="126">
        <f t="shared" si="2"/>
        <v>46.965999999999994</v>
      </c>
      <c r="G23" s="126">
        <f t="shared" si="3"/>
        <v>21.438999999999993</v>
      </c>
      <c r="H23" s="135">
        <f t="shared" si="1"/>
        <v>-1.0504565217391502</v>
      </c>
      <c r="I23" s="135">
        <f t="shared" si="1"/>
        <v>9.6690434782608463</v>
      </c>
      <c r="J23" s="135">
        <f t="shared" si="1"/>
        <v>20.388543478260843</v>
      </c>
      <c r="K23" s="135">
        <f t="shared" si="1"/>
        <v>31.108043478260839</v>
      </c>
      <c r="L23" s="135">
        <f t="shared" si="1"/>
        <v>41.827543478260836</v>
      </c>
      <c r="M23" s="135">
        <f t="shared" si="1"/>
        <v>52.547043478260832</v>
      </c>
      <c r="N23" s="136">
        <f t="shared" si="1"/>
        <v>63.266543478260814</v>
      </c>
      <c r="O23" s="153"/>
      <c r="P23"/>
      <c r="Q23"/>
      <c r="R23"/>
      <c r="S23"/>
    </row>
    <row r="24" spans="1:19" ht="13.5" customHeight="1" x14ac:dyDescent="0.2">
      <c r="A24" s="16"/>
      <c r="B24" s="17"/>
      <c r="C24" s="18"/>
      <c r="D24" s="18"/>
      <c r="E24" s="271" t="s">
        <v>51</v>
      </c>
      <c r="F24" s="272"/>
      <c r="G24" s="272"/>
      <c r="H24" s="272"/>
      <c r="I24" s="272"/>
      <c r="J24" s="272"/>
      <c r="K24" s="272"/>
      <c r="L24" s="272"/>
      <c r="M24" s="272"/>
      <c r="N24" s="273"/>
      <c r="O24" s="153"/>
      <c r="P24"/>
      <c r="Q24"/>
      <c r="R24"/>
      <c r="S24"/>
    </row>
    <row r="25" spans="1:19" ht="9.75" customHeight="1" x14ac:dyDescent="0.2">
      <c r="A25" s="16"/>
      <c r="B25" s="17"/>
      <c r="C25" s="18"/>
      <c r="D25" s="18"/>
      <c r="E25" s="266" t="s">
        <v>16</v>
      </c>
      <c r="F25" s="267"/>
      <c r="G25" s="267"/>
      <c r="H25" s="267"/>
      <c r="I25" s="267"/>
      <c r="J25" s="267"/>
      <c r="K25" s="267"/>
      <c r="L25" s="267"/>
      <c r="M25" s="267"/>
      <c r="N25" s="268"/>
      <c r="O25" s="153"/>
      <c r="P25"/>
      <c r="Q25"/>
      <c r="R25"/>
      <c r="S25"/>
    </row>
    <row r="26" spans="1:19" ht="9.75" customHeight="1" x14ac:dyDescent="0.2">
      <c r="A26" s="16"/>
      <c r="B26" s="17"/>
      <c r="C26" s="18"/>
      <c r="D26" s="18"/>
      <c r="E26" s="266" t="s">
        <v>19</v>
      </c>
      <c r="F26" s="267"/>
      <c r="G26" s="267"/>
      <c r="H26" s="267"/>
      <c r="I26" s="267"/>
      <c r="J26" s="267"/>
      <c r="K26" s="267"/>
      <c r="L26" s="267"/>
      <c r="M26" s="267"/>
      <c r="N26" s="268"/>
      <c r="O26" s="153"/>
      <c r="P26"/>
      <c r="Q26"/>
      <c r="R26"/>
      <c r="S26"/>
    </row>
    <row r="27" spans="1:19" ht="11.25" customHeight="1" x14ac:dyDescent="0.2">
      <c r="A27" s="16"/>
      <c r="B27" s="17"/>
      <c r="C27" s="18"/>
      <c r="D27" s="18"/>
      <c r="E27" s="262" t="s">
        <v>85</v>
      </c>
      <c r="F27" s="263"/>
      <c r="G27" s="263"/>
      <c r="H27" s="263"/>
      <c r="I27" s="263"/>
      <c r="J27" s="263"/>
      <c r="K27" s="264"/>
      <c r="L27" s="264"/>
      <c r="M27" s="264"/>
      <c r="N27" s="265"/>
      <c r="O27" s="153"/>
      <c r="P27"/>
      <c r="Q27"/>
      <c r="R27"/>
      <c r="S27"/>
    </row>
    <row r="28" spans="1:19" ht="12" customHeight="1" thickBot="1" x14ac:dyDescent="0.25">
      <c r="A28" s="16"/>
      <c r="B28" s="17"/>
      <c r="C28" s="18"/>
      <c r="D28" s="18"/>
      <c r="E28" s="277" t="s">
        <v>38</v>
      </c>
      <c r="F28" s="278"/>
      <c r="G28" s="279"/>
      <c r="H28" s="279"/>
      <c r="I28" s="279"/>
      <c r="J28" s="279"/>
      <c r="K28" s="280"/>
      <c r="L28" s="280"/>
      <c r="M28" s="280"/>
      <c r="N28" s="281"/>
      <c r="O28" s="153"/>
      <c r="P28"/>
      <c r="Q28"/>
      <c r="R28"/>
      <c r="S28"/>
    </row>
    <row r="29" spans="1:19" ht="11.25" customHeight="1" x14ac:dyDescent="0.2">
      <c r="A29" s="16"/>
      <c r="B29" s="17"/>
      <c r="C29" s="18"/>
      <c r="D29" s="18"/>
      <c r="E29" s="53"/>
      <c r="F29" s="53"/>
      <c r="G29" s="53"/>
      <c r="H29" s="53"/>
      <c r="I29" s="53"/>
      <c r="J29" s="53"/>
      <c r="K29" s="12"/>
      <c r="L29" s="12"/>
      <c r="M29" s="12"/>
      <c r="N29" s="15"/>
      <c r="O29" s="153"/>
      <c r="P29"/>
      <c r="Q29"/>
      <c r="R29"/>
      <c r="S29"/>
    </row>
    <row r="30" spans="1:19" ht="11.25" customHeight="1" thickBot="1" x14ac:dyDescent="0.25">
      <c r="B30" s="252"/>
      <c r="C30" s="253"/>
      <c r="D30" s="253"/>
      <c r="E30" s="253"/>
      <c r="F30" s="253"/>
      <c r="G30" s="253"/>
      <c r="H30" s="253"/>
      <c r="I30" s="253"/>
      <c r="J30" s="253"/>
      <c r="K30" s="55"/>
      <c r="L30" s="55"/>
      <c r="M30" s="55"/>
      <c r="N30" s="56"/>
      <c r="O30" s="153"/>
      <c r="P30"/>
      <c r="Q30"/>
      <c r="R30"/>
      <c r="S30"/>
    </row>
    <row r="31" spans="1:19" ht="4.5" customHeight="1" thickBot="1" x14ac:dyDescent="0.25">
      <c r="B31" s="188"/>
      <c r="C31" s="172"/>
      <c r="D31" s="172"/>
      <c r="E31" s="172"/>
      <c r="F31" s="172"/>
      <c r="G31" s="172"/>
      <c r="H31" s="172"/>
      <c r="I31" s="172"/>
      <c r="J31" s="172"/>
      <c r="K31" s="12"/>
      <c r="L31" s="12"/>
      <c r="M31" s="12"/>
      <c r="N31" s="15"/>
      <c r="O31" s="153"/>
      <c r="P31"/>
      <c r="Q31"/>
      <c r="R31"/>
      <c r="S31"/>
    </row>
    <row r="32" spans="1:19" ht="15.75" customHeight="1" thickBot="1" x14ac:dyDescent="0.3">
      <c r="A32" s="16"/>
      <c r="B32" s="240" t="s">
        <v>39</v>
      </c>
      <c r="C32" s="241"/>
      <c r="E32" s="18"/>
      <c r="F32" s="18"/>
      <c r="G32" s="18"/>
      <c r="H32" s="18"/>
      <c r="I32" s="19"/>
      <c r="J32" s="18"/>
      <c r="K32" s="19"/>
      <c r="L32" s="12"/>
      <c r="M32" s="12"/>
      <c r="N32" s="15"/>
      <c r="O32" s="155"/>
    </row>
    <row r="33" spans="1:19" ht="15" customHeight="1" x14ac:dyDescent="0.25">
      <c r="A33" s="16"/>
      <c r="B33" s="87" t="s">
        <v>1</v>
      </c>
      <c r="C33" s="21" t="str">
        <f>'Data Entry'!C7</f>
        <v>UREA</v>
      </c>
      <c r="D33" s="18"/>
      <c r="F33" s="22"/>
      <c r="G33" s="231" t="s">
        <v>102</v>
      </c>
      <c r="H33" s="23"/>
      <c r="I33" s="274" t="s">
        <v>17</v>
      </c>
      <c r="J33" s="275"/>
      <c r="K33" s="275"/>
      <c r="L33" s="275"/>
      <c r="M33" s="275"/>
      <c r="N33" s="24"/>
      <c r="O33" s="155"/>
    </row>
    <row r="34" spans="1:19" ht="15" x14ac:dyDescent="0.2">
      <c r="A34" s="16"/>
      <c r="B34" s="20" t="s">
        <v>3</v>
      </c>
      <c r="C34" s="179">
        <f>'Data Entry'!C8</f>
        <v>700</v>
      </c>
      <c r="D34" s="18"/>
      <c r="F34" s="17"/>
      <c r="G34" s="232"/>
      <c r="H34" s="18"/>
      <c r="I34" s="19"/>
      <c r="J34" s="18"/>
      <c r="K34" s="19"/>
      <c r="L34" s="12"/>
      <c r="M34" s="12"/>
      <c r="N34" s="15"/>
      <c r="O34" s="155"/>
    </row>
    <row r="35" spans="1:19" ht="15" x14ac:dyDescent="0.25">
      <c r="A35" s="16"/>
      <c r="B35" s="20" t="s">
        <v>4</v>
      </c>
      <c r="C35" s="25">
        <f>'Data Entry'!C9</f>
        <v>46</v>
      </c>
      <c r="D35" s="18"/>
      <c r="F35" s="17"/>
      <c r="G35" s="232"/>
      <c r="H35" s="26">
        <f>K35-C39*3</f>
        <v>3.5</v>
      </c>
      <c r="I35" s="26">
        <f>K35-C39*2</f>
        <v>4</v>
      </c>
      <c r="J35" s="26">
        <f>K35-C39</f>
        <v>4.5</v>
      </c>
      <c r="K35" s="27">
        <f>'Data Entry'!F14</f>
        <v>5</v>
      </c>
      <c r="L35" s="26">
        <f>K35+C39</f>
        <v>5.5</v>
      </c>
      <c r="M35" s="26">
        <f>K35+C39*2</f>
        <v>6</v>
      </c>
      <c r="N35" s="28">
        <f>K35+C39*3</f>
        <v>6.5</v>
      </c>
      <c r="O35" s="155"/>
    </row>
    <row r="36" spans="1:19" ht="15" x14ac:dyDescent="0.25">
      <c r="A36" s="16"/>
      <c r="B36" s="20" t="s">
        <v>5</v>
      </c>
      <c r="C36" s="61">
        <f>(C34/((C35/100)*2200))</f>
        <v>0.69169960474308301</v>
      </c>
      <c r="D36" s="18"/>
      <c r="F36" s="17"/>
      <c r="G36" s="29" t="s">
        <v>6</v>
      </c>
      <c r="H36" s="18"/>
      <c r="I36" s="18"/>
      <c r="J36" s="18"/>
      <c r="K36" s="12"/>
      <c r="L36" s="12"/>
      <c r="M36" s="12"/>
      <c r="N36" s="15"/>
      <c r="O36" s="155"/>
    </row>
    <row r="37" spans="1:19" ht="15" x14ac:dyDescent="0.25">
      <c r="A37" s="16"/>
      <c r="B37" s="30" t="s">
        <v>20</v>
      </c>
      <c r="C37" s="31">
        <f>'Data Entry'!C11</f>
        <v>10</v>
      </c>
      <c r="D37" s="18"/>
      <c r="F37" s="32"/>
      <c r="G37" s="70" t="s">
        <v>67</v>
      </c>
      <c r="H37" s="229" t="s">
        <v>112</v>
      </c>
      <c r="I37" s="229"/>
      <c r="J37" s="229"/>
      <c r="K37" s="229"/>
      <c r="L37" s="229"/>
      <c r="M37" s="229"/>
      <c r="N37" s="230"/>
      <c r="O37" s="153"/>
      <c r="P37"/>
      <c r="Q37"/>
      <c r="R37"/>
      <c r="S37"/>
    </row>
    <row r="38" spans="1:19" ht="15.75" thickBot="1" x14ac:dyDescent="0.3">
      <c r="A38" s="16"/>
      <c r="B38" s="33" t="s">
        <v>106</v>
      </c>
      <c r="C38" s="34"/>
      <c r="D38" s="18"/>
      <c r="F38" s="35" t="s">
        <v>9</v>
      </c>
      <c r="G38" s="73" t="s">
        <v>68</v>
      </c>
      <c r="H38" s="247" t="s">
        <v>18</v>
      </c>
      <c r="I38" s="247"/>
      <c r="J38" s="247"/>
      <c r="K38" s="247"/>
      <c r="L38" s="247"/>
      <c r="M38" s="247"/>
      <c r="N38" s="248"/>
      <c r="O38" s="153"/>
      <c r="P38"/>
      <c r="Q38"/>
      <c r="R38"/>
      <c r="S38"/>
    </row>
    <row r="39" spans="1:19" ht="15" x14ac:dyDescent="0.25">
      <c r="A39" s="16"/>
      <c r="B39" s="37" t="s">
        <v>108</v>
      </c>
      <c r="C39" s="57">
        <f>'Data Entry'!C13</f>
        <v>0.5</v>
      </c>
      <c r="D39" s="18"/>
      <c r="F39" s="39" t="s">
        <v>11</v>
      </c>
      <c r="G39" s="75" t="s">
        <v>12</v>
      </c>
      <c r="H39" s="41">
        <f t="shared" ref="H39:N39" si="4">H35/$C$11</f>
        <v>5.0599999999999996</v>
      </c>
      <c r="I39" s="41">
        <f t="shared" si="4"/>
        <v>5.7828571428571429</v>
      </c>
      <c r="J39" s="41">
        <f t="shared" si="4"/>
        <v>6.5057142857142853</v>
      </c>
      <c r="K39" s="41">
        <f t="shared" si="4"/>
        <v>7.2285714285714286</v>
      </c>
      <c r="L39" s="41">
        <f t="shared" si="4"/>
        <v>7.9514285714285711</v>
      </c>
      <c r="M39" s="41">
        <f t="shared" si="4"/>
        <v>8.6742857142857144</v>
      </c>
      <c r="N39" s="42">
        <f t="shared" si="4"/>
        <v>9.3971428571428568</v>
      </c>
      <c r="O39" s="153"/>
      <c r="P39"/>
      <c r="Q39"/>
      <c r="R39"/>
      <c r="S39"/>
    </row>
    <row r="40" spans="1:19" ht="15" x14ac:dyDescent="0.25">
      <c r="A40" s="16"/>
      <c r="B40" s="43" t="s">
        <v>28</v>
      </c>
      <c r="C40" s="34"/>
      <c r="D40" s="18"/>
      <c r="F40" s="44">
        <f>IF((F44-4*$C$12)&lt;0,0,(F44-4*$C$12))</f>
        <v>30</v>
      </c>
      <c r="G40" s="126">
        <f>G15+(-0.0013*($C$16)^2 + 0.4159*($C$16))+14.22</f>
        <v>34.494</v>
      </c>
      <c r="H40" s="135">
        <f t="shared" ref="H40:N48" si="5">(H$10*$G40)-($C$11*($F40))</f>
        <v>99.978011857707514</v>
      </c>
      <c r="I40" s="135">
        <f t="shared" si="5"/>
        <v>117.2250118577075</v>
      </c>
      <c r="J40" s="135">
        <f t="shared" si="5"/>
        <v>134.47201185770751</v>
      </c>
      <c r="K40" s="135">
        <f t="shared" si="5"/>
        <v>151.7190118577075</v>
      </c>
      <c r="L40" s="135">
        <f t="shared" si="5"/>
        <v>168.96601185770749</v>
      </c>
      <c r="M40" s="135">
        <f t="shared" si="5"/>
        <v>186.2130118577075</v>
      </c>
      <c r="N40" s="136">
        <f t="shared" si="5"/>
        <v>203.46001185770751</v>
      </c>
      <c r="O40" s="153"/>
      <c r="P40"/>
      <c r="Q40"/>
      <c r="R40"/>
      <c r="S40"/>
    </row>
    <row r="41" spans="1:19" ht="15" x14ac:dyDescent="0.25">
      <c r="A41" s="16"/>
      <c r="B41" s="37" t="s">
        <v>29</v>
      </c>
      <c r="C41" s="45">
        <f>'Data Entry'!C15</f>
        <v>30</v>
      </c>
      <c r="D41" s="18"/>
      <c r="F41" s="44">
        <f>IF((F45-4*$C$12)&lt;0,0,(F45-4*$C$12))</f>
        <v>40</v>
      </c>
      <c r="G41" s="126">
        <f t="shared" ref="G41:G48" si="6">G16+(-0.0013*($C$16)^2 + 0.4159*($C$16))+14.22</f>
        <v>36.963000000000001</v>
      </c>
      <c r="H41" s="135">
        <f t="shared" si="5"/>
        <v>101.70251581027668</v>
      </c>
      <c r="I41" s="135">
        <f t="shared" si="5"/>
        <v>120.18401581027669</v>
      </c>
      <c r="J41" s="135">
        <f t="shared" si="5"/>
        <v>138.6655158102767</v>
      </c>
      <c r="K41" s="135">
        <f t="shared" si="5"/>
        <v>157.14701581027668</v>
      </c>
      <c r="L41" s="135">
        <f t="shared" si="5"/>
        <v>175.6285158102767</v>
      </c>
      <c r="M41" s="135">
        <f t="shared" si="5"/>
        <v>194.11001581027671</v>
      </c>
      <c r="N41" s="136">
        <f t="shared" si="5"/>
        <v>212.59151581027669</v>
      </c>
      <c r="O41" s="153"/>
      <c r="P41"/>
      <c r="Q41"/>
      <c r="R41"/>
      <c r="S41"/>
    </row>
    <row r="42" spans="1:19" ht="15" x14ac:dyDescent="0.25">
      <c r="A42" s="16"/>
      <c r="B42" s="43" t="s">
        <v>30</v>
      </c>
      <c r="C42" s="46"/>
      <c r="D42" s="18"/>
      <c r="F42" s="44">
        <f>IF((F46-4*$C$12)&lt;0,0,(F46-4*$C$12))</f>
        <v>50</v>
      </c>
      <c r="G42" s="126">
        <f t="shared" si="6"/>
        <v>39.171999999999997</v>
      </c>
      <c r="H42" s="135">
        <f t="shared" si="5"/>
        <v>102.51701976284582</v>
      </c>
      <c r="I42" s="135">
        <f t="shared" si="5"/>
        <v>122.10301976284583</v>
      </c>
      <c r="J42" s="135">
        <f t="shared" si="5"/>
        <v>141.68901976284585</v>
      </c>
      <c r="K42" s="135">
        <f t="shared" si="5"/>
        <v>161.27501976284583</v>
      </c>
      <c r="L42" s="135">
        <f t="shared" si="5"/>
        <v>180.86101976284581</v>
      </c>
      <c r="M42" s="135">
        <f t="shared" si="5"/>
        <v>200.44701976284583</v>
      </c>
      <c r="N42" s="136">
        <f t="shared" si="5"/>
        <v>220.03301976284584</v>
      </c>
      <c r="O42" s="153"/>
      <c r="P42"/>
      <c r="Q42"/>
      <c r="R42"/>
      <c r="S42"/>
    </row>
    <row r="43" spans="1:19" ht="15.75" thickBot="1" x14ac:dyDescent="0.3">
      <c r="A43" s="16"/>
      <c r="B43" s="17"/>
      <c r="C43" s="18"/>
      <c r="D43" s="18"/>
      <c r="F43" s="44">
        <f>IF((F47-4*$C$12)&lt;0,0,(F47-4*$C$12))</f>
        <v>60</v>
      </c>
      <c r="G43" s="126">
        <f t="shared" si="6"/>
        <v>41.120999999999995</v>
      </c>
      <c r="H43" s="135">
        <f t="shared" si="5"/>
        <v>102.42152371541501</v>
      </c>
      <c r="I43" s="135">
        <f t="shared" si="5"/>
        <v>122.982023715415</v>
      </c>
      <c r="J43" s="135">
        <f t="shared" si="5"/>
        <v>143.54252371541497</v>
      </c>
      <c r="K43" s="135">
        <f t="shared" si="5"/>
        <v>164.10302371541496</v>
      </c>
      <c r="L43" s="135">
        <f t="shared" si="5"/>
        <v>184.66352371541501</v>
      </c>
      <c r="M43" s="135">
        <f t="shared" si="5"/>
        <v>205.224023715415</v>
      </c>
      <c r="N43" s="136">
        <f t="shared" si="5"/>
        <v>225.78452371541499</v>
      </c>
      <c r="O43" s="153"/>
      <c r="P43"/>
      <c r="Q43"/>
      <c r="R43"/>
      <c r="S43"/>
    </row>
    <row r="44" spans="1:19" ht="15.75" thickBot="1" x14ac:dyDescent="0.3">
      <c r="A44" s="16"/>
      <c r="B44" s="47"/>
      <c r="C44" s="48"/>
      <c r="E44" s="49" t="s">
        <v>13</v>
      </c>
      <c r="F44" s="50">
        <f>E19</f>
        <v>70</v>
      </c>
      <c r="G44" s="126">
        <f t="shared" si="6"/>
        <v>42.809999999999995</v>
      </c>
      <c r="H44" s="135">
        <f t="shared" si="5"/>
        <v>101.41602766798417</v>
      </c>
      <c r="I44" s="135">
        <f t="shared" si="5"/>
        <v>122.82102766798417</v>
      </c>
      <c r="J44" s="135">
        <f t="shared" si="5"/>
        <v>144.22602766798417</v>
      </c>
      <c r="K44" s="135">
        <f t="shared" si="5"/>
        <v>165.63102766798417</v>
      </c>
      <c r="L44" s="135">
        <f t="shared" si="5"/>
        <v>187.03602766798417</v>
      </c>
      <c r="M44" s="135">
        <f t="shared" si="5"/>
        <v>208.44102766798414</v>
      </c>
      <c r="N44" s="136">
        <f t="shared" si="5"/>
        <v>229.84602766798417</v>
      </c>
      <c r="O44" s="153"/>
      <c r="P44"/>
      <c r="Q44"/>
      <c r="R44"/>
      <c r="S44"/>
    </row>
    <row r="45" spans="1:19" ht="15" x14ac:dyDescent="0.25">
      <c r="A45" s="16"/>
      <c r="B45" s="17"/>
      <c r="C45" s="18"/>
      <c r="D45" s="18"/>
      <c r="F45" s="51">
        <f>F44+C37</f>
        <v>80</v>
      </c>
      <c r="G45" s="126">
        <f t="shared" si="6"/>
        <v>44.239000000000004</v>
      </c>
      <c r="H45" s="135">
        <f t="shared" si="5"/>
        <v>99.50053162055336</v>
      </c>
      <c r="I45" s="135">
        <f t="shared" si="5"/>
        <v>121.62003162055338</v>
      </c>
      <c r="J45" s="135">
        <f t="shared" si="5"/>
        <v>143.73953162055341</v>
      </c>
      <c r="K45" s="135">
        <f t="shared" si="5"/>
        <v>165.85903162055337</v>
      </c>
      <c r="L45" s="135">
        <f t="shared" si="5"/>
        <v>187.97853162055338</v>
      </c>
      <c r="M45" s="135">
        <f t="shared" si="5"/>
        <v>210.0980316205534</v>
      </c>
      <c r="N45" s="136">
        <f t="shared" si="5"/>
        <v>232.21753162055342</v>
      </c>
      <c r="O45" s="153"/>
      <c r="P45"/>
      <c r="Q45"/>
      <c r="R45"/>
      <c r="S45"/>
    </row>
    <row r="46" spans="1:19" ht="15" x14ac:dyDescent="0.25">
      <c r="A46" s="16"/>
      <c r="B46" s="17"/>
      <c r="C46" s="52"/>
      <c r="D46" s="18"/>
      <c r="F46" s="51">
        <f>F44+2*C37</f>
        <v>90</v>
      </c>
      <c r="G46" s="126">
        <f t="shared" si="6"/>
        <v>45.408000000000001</v>
      </c>
      <c r="H46" s="135">
        <f t="shared" si="5"/>
        <v>96.675035573122528</v>
      </c>
      <c r="I46" s="135">
        <f t="shared" si="5"/>
        <v>119.37903557312254</v>
      </c>
      <c r="J46" s="135">
        <f t="shared" si="5"/>
        <v>142.08303557312254</v>
      </c>
      <c r="K46" s="135">
        <f t="shared" si="5"/>
        <v>164.78703557312255</v>
      </c>
      <c r="L46" s="135">
        <f t="shared" si="5"/>
        <v>187.49103557312253</v>
      </c>
      <c r="M46" s="135">
        <f t="shared" si="5"/>
        <v>210.19503557312251</v>
      </c>
      <c r="N46" s="136">
        <f t="shared" si="5"/>
        <v>232.89903557312252</v>
      </c>
      <c r="O46" s="153"/>
      <c r="P46"/>
      <c r="Q46"/>
      <c r="R46"/>
      <c r="S46"/>
    </row>
    <row r="47" spans="1:19" ht="15" x14ac:dyDescent="0.25">
      <c r="A47" s="16"/>
      <c r="B47" s="17"/>
      <c r="C47" s="18"/>
      <c r="D47" s="18"/>
      <c r="F47" s="51">
        <f>F44+3*C37</f>
        <v>100</v>
      </c>
      <c r="G47" s="126">
        <f t="shared" si="6"/>
        <v>46.317</v>
      </c>
      <c r="H47" s="135">
        <f t="shared" si="5"/>
        <v>92.9395395256917</v>
      </c>
      <c r="I47" s="135">
        <f t="shared" si="5"/>
        <v>116.0980395256917</v>
      </c>
      <c r="J47" s="135">
        <f t="shared" si="5"/>
        <v>139.25653952569172</v>
      </c>
      <c r="K47" s="135">
        <f t="shared" si="5"/>
        <v>162.41503952569172</v>
      </c>
      <c r="L47" s="135">
        <f t="shared" si="5"/>
        <v>185.57353952569173</v>
      </c>
      <c r="M47" s="135">
        <f t="shared" si="5"/>
        <v>208.73203952569168</v>
      </c>
      <c r="N47" s="136">
        <f t="shared" si="5"/>
        <v>231.89053952569168</v>
      </c>
      <c r="O47" s="153"/>
      <c r="P47"/>
      <c r="Q47"/>
      <c r="R47"/>
      <c r="S47"/>
    </row>
    <row r="48" spans="1:19" ht="15" x14ac:dyDescent="0.25">
      <c r="A48" s="16"/>
      <c r="B48" s="17"/>
      <c r="C48" s="18"/>
      <c r="D48" s="18"/>
      <c r="F48" s="51">
        <f>F44+4*C37</f>
        <v>110</v>
      </c>
      <c r="G48" s="126">
        <f t="shared" si="6"/>
        <v>46.965999999999994</v>
      </c>
      <c r="H48" s="135">
        <f t="shared" si="5"/>
        <v>88.294043478260846</v>
      </c>
      <c r="I48" s="135">
        <f t="shared" si="5"/>
        <v>111.77704347826085</v>
      </c>
      <c r="J48" s="135">
        <f t="shared" si="5"/>
        <v>135.26004347826085</v>
      </c>
      <c r="K48" s="135">
        <f t="shared" si="5"/>
        <v>158.74304347826086</v>
      </c>
      <c r="L48" s="135">
        <f t="shared" si="5"/>
        <v>182.22604347826086</v>
      </c>
      <c r="M48" s="135">
        <f t="shared" si="5"/>
        <v>205.70904347826081</v>
      </c>
      <c r="N48" s="136">
        <f t="shared" si="5"/>
        <v>229.19204347826081</v>
      </c>
      <c r="O48" s="153"/>
      <c r="P48"/>
      <c r="Q48"/>
      <c r="R48"/>
      <c r="S48"/>
    </row>
    <row r="49" spans="1:19" ht="13.5" customHeight="1" x14ac:dyDescent="0.2">
      <c r="A49" s="16"/>
      <c r="B49" s="17"/>
      <c r="C49" s="18"/>
      <c r="D49" s="18"/>
      <c r="F49" s="180" t="s">
        <v>51</v>
      </c>
      <c r="G49" s="173"/>
      <c r="H49" s="173"/>
      <c r="I49" s="173"/>
      <c r="J49" s="173"/>
      <c r="K49" s="173"/>
      <c r="L49" s="173"/>
      <c r="M49" s="173"/>
      <c r="N49" s="174"/>
      <c r="O49" s="153"/>
      <c r="P49"/>
      <c r="Q49"/>
      <c r="R49"/>
      <c r="S49"/>
    </row>
    <row r="50" spans="1:19" ht="9.75" customHeight="1" x14ac:dyDescent="0.2">
      <c r="A50" s="16"/>
      <c r="B50" s="17"/>
      <c r="C50" s="18"/>
      <c r="D50" s="18"/>
      <c r="F50" s="183" t="s">
        <v>16</v>
      </c>
      <c r="G50" s="175"/>
      <c r="H50" s="175"/>
      <c r="I50" s="175"/>
      <c r="J50" s="175"/>
      <c r="K50" s="175"/>
      <c r="L50" s="175"/>
      <c r="M50" s="175"/>
      <c r="N50" s="176"/>
      <c r="O50" s="153"/>
      <c r="P50"/>
      <c r="Q50"/>
      <c r="R50"/>
      <c r="S50"/>
    </row>
    <row r="51" spans="1:19" ht="9.75" customHeight="1" x14ac:dyDescent="0.2">
      <c r="A51" s="16"/>
      <c r="B51" s="17"/>
      <c r="C51" s="18"/>
      <c r="D51" s="18"/>
      <c r="F51" s="183" t="s">
        <v>99</v>
      </c>
      <c r="G51" s="175"/>
      <c r="H51" s="175"/>
      <c r="I51" s="175"/>
      <c r="J51" s="175"/>
      <c r="K51" s="175"/>
      <c r="L51" s="175"/>
      <c r="M51" s="175"/>
      <c r="N51" s="176"/>
      <c r="O51" s="153"/>
      <c r="P51"/>
      <c r="Q51"/>
      <c r="R51"/>
      <c r="S51"/>
    </row>
    <row r="52" spans="1:19" ht="11.25" customHeight="1" x14ac:dyDescent="0.2">
      <c r="A52" s="16"/>
      <c r="B52" s="17"/>
      <c r="C52" s="18"/>
      <c r="D52" s="18"/>
      <c r="F52" s="79" t="s">
        <v>85</v>
      </c>
      <c r="G52" s="80"/>
      <c r="H52" s="80"/>
      <c r="I52" s="80"/>
      <c r="J52" s="80"/>
      <c r="K52" s="130"/>
      <c r="L52" s="130"/>
      <c r="M52" s="130"/>
      <c r="N52" s="166"/>
      <c r="O52" s="153"/>
      <c r="P52"/>
      <c r="Q52"/>
      <c r="R52"/>
      <c r="S52"/>
    </row>
    <row r="53" spans="1:19" ht="12" customHeight="1" thickBot="1" x14ac:dyDescent="0.25">
      <c r="A53" s="16"/>
      <c r="B53" s="17"/>
      <c r="C53" s="18"/>
      <c r="D53" s="18"/>
      <c r="F53" s="186" t="s">
        <v>38</v>
      </c>
      <c r="G53" s="177"/>
      <c r="H53" s="178"/>
      <c r="I53" s="178"/>
      <c r="J53" s="178"/>
      <c r="K53" s="170"/>
      <c r="L53" s="170"/>
      <c r="M53" s="170"/>
      <c r="N53" s="171"/>
      <c r="O53" s="153"/>
      <c r="P53"/>
      <c r="Q53"/>
      <c r="R53"/>
      <c r="S53"/>
    </row>
    <row r="54" spans="1:19" ht="11.25" customHeight="1" x14ac:dyDescent="0.2">
      <c r="A54" s="16"/>
      <c r="B54" s="17"/>
      <c r="C54" s="18"/>
      <c r="D54" s="18"/>
      <c r="E54" s="53"/>
      <c r="F54" s="53"/>
      <c r="G54" s="53"/>
      <c r="H54" s="53"/>
      <c r="I54" s="53"/>
      <c r="J54" s="53"/>
      <c r="K54" s="12"/>
      <c r="L54" s="12"/>
      <c r="M54" s="12"/>
      <c r="N54" s="15"/>
      <c r="O54" s="153"/>
      <c r="P54"/>
      <c r="Q54"/>
      <c r="R54"/>
      <c r="S54"/>
    </row>
    <row r="55" spans="1:19" ht="11.25" customHeight="1" thickBot="1" x14ac:dyDescent="0.25">
      <c r="B55" s="252"/>
      <c r="C55" s="253"/>
      <c r="D55" s="253"/>
      <c r="E55" s="253"/>
      <c r="F55" s="253"/>
      <c r="G55" s="253"/>
      <c r="H55" s="253"/>
      <c r="I55" s="253"/>
      <c r="J55" s="253"/>
      <c r="K55" s="55"/>
      <c r="L55" s="55"/>
      <c r="M55" s="55"/>
      <c r="N55" s="56"/>
      <c r="O55" s="153"/>
      <c r="P55"/>
      <c r="Q55"/>
      <c r="R55"/>
      <c r="S55"/>
    </row>
    <row r="56" spans="1:19" x14ac:dyDescent="0.2">
      <c r="O56" s="153"/>
      <c r="P56"/>
      <c r="Q56"/>
      <c r="R56"/>
      <c r="S56"/>
    </row>
  </sheetData>
  <sheetProtection password="CE5A" sheet="1" objects="1" scenarios="1"/>
  <mergeCells count="22">
    <mergeCell ref="B7:C7"/>
    <mergeCell ref="E27:N27"/>
    <mergeCell ref="B55:J55"/>
    <mergeCell ref="G8:G10"/>
    <mergeCell ref="G33:G35"/>
    <mergeCell ref="B32:C32"/>
    <mergeCell ref="I33:M33"/>
    <mergeCell ref="H37:N37"/>
    <mergeCell ref="H38:N38"/>
    <mergeCell ref="E28:N28"/>
    <mergeCell ref="B30:J30"/>
    <mergeCell ref="E25:N25"/>
    <mergeCell ref="B2:N2"/>
    <mergeCell ref="B3:N3"/>
    <mergeCell ref="L5:N5"/>
    <mergeCell ref="E26:N26"/>
    <mergeCell ref="H12:N12"/>
    <mergeCell ref="H13:N13"/>
    <mergeCell ref="E24:N24"/>
    <mergeCell ref="E5:G5"/>
    <mergeCell ref="H5:K5"/>
    <mergeCell ref="I8:M8"/>
  </mergeCells>
  <phoneticPr fontId="15" type="noConversion"/>
  <conditionalFormatting sqref="H40:H48">
    <cfRule type="cellIs" dxfId="469" priority="1" stopIfTrue="1" operator="between">
      <formula>MAX($H$40:$H$48)-0.5</formula>
      <formula>MAX($H$40:$H$48)+0.5</formula>
    </cfRule>
    <cfRule type="cellIs" dxfId="468" priority="2" stopIfTrue="1" operator="between">
      <formula>MAX($H$40:$H$48)-0.5</formula>
      <formula>MAX($H$40:$H$48)-1.5</formula>
    </cfRule>
    <cfRule type="cellIs" dxfId="467" priority="3" stopIfTrue="1" operator="between">
      <formula>MAX($H$40:$H$48+0.5)</formula>
      <formula>MAX($H$40:$H$48)+1.5</formula>
    </cfRule>
  </conditionalFormatting>
  <conditionalFormatting sqref="I40:I48">
    <cfRule type="cellIs" dxfId="466" priority="4" stopIfTrue="1" operator="between">
      <formula>MAX($I$40:$I$55)-0.5</formula>
      <formula>MAX($I$40:$I$55)+0.5</formula>
    </cfRule>
    <cfRule type="cellIs" dxfId="465" priority="5" stopIfTrue="1" operator="between">
      <formula>MAX($I$40:$I$55)-0.5</formula>
      <formula>MAX($I$40:$I$55)-1.5</formula>
    </cfRule>
    <cfRule type="cellIs" dxfId="464" priority="6" stopIfTrue="1" operator="between">
      <formula>MAX($I$40:$I$55)+0.5</formula>
      <formula>MAX($I$40:$I$55)+1.5</formula>
    </cfRule>
  </conditionalFormatting>
  <conditionalFormatting sqref="J40:J48">
    <cfRule type="cellIs" dxfId="463" priority="7" stopIfTrue="1" operator="between">
      <formula>MAX($J$40:$J$55)-0.5</formula>
      <formula>MAX($J$40:$J$55)+0.5</formula>
    </cfRule>
    <cfRule type="cellIs" dxfId="462" priority="8" stopIfTrue="1" operator="between">
      <formula>MAX($J$40:$J$55)-0.5</formula>
      <formula>MAX($J$40:$J$55)-1.5</formula>
    </cfRule>
    <cfRule type="cellIs" dxfId="461" priority="9" stopIfTrue="1" operator="between">
      <formula>MAX($J$40:$J$55)+0.5</formula>
      <formula>MAX($J$40:$J$55)+1.5</formula>
    </cfRule>
  </conditionalFormatting>
  <conditionalFormatting sqref="K40:K48">
    <cfRule type="cellIs" dxfId="460" priority="10" stopIfTrue="1" operator="between">
      <formula>MAX($K$40:$K$55)-0.5</formula>
      <formula>MAX($K$40:$K$55)+0.5</formula>
    </cfRule>
    <cfRule type="cellIs" dxfId="459" priority="11" stopIfTrue="1" operator="between">
      <formula>MAX($K$40:$K$55)-0.5</formula>
      <formula>MAX($K$40:$K$55)-1.5</formula>
    </cfRule>
    <cfRule type="cellIs" dxfId="458" priority="12" stopIfTrue="1" operator="between">
      <formula>MAX($K$40:$K$55)+0.5</formula>
      <formula>MAX($K$40:$K$55)+1.5</formula>
    </cfRule>
  </conditionalFormatting>
  <conditionalFormatting sqref="L40:L48">
    <cfRule type="cellIs" dxfId="457" priority="13" stopIfTrue="1" operator="between">
      <formula>MAX($L$40:$L$55)-0.5</formula>
      <formula>MAX($L$40:$L$55)+0.5</formula>
    </cfRule>
    <cfRule type="cellIs" dxfId="456" priority="14" stopIfTrue="1" operator="between">
      <formula>MAX($L$40:$L$55)-0.5</formula>
      <formula>MAX($L$40:$L$55)-1.5</formula>
    </cfRule>
    <cfRule type="cellIs" dxfId="455" priority="15" stopIfTrue="1" operator="between">
      <formula>MAX($L$40:$L$55)+0.5</formula>
      <formula>MAX($L$40:$L$55)+1.5</formula>
    </cfRule>
  </conditionalFormatting>
  <conditionalFormatting sqref="M40:M48">
    <cfRule type="cellIs" dxfId="454" priority="16" stopIfTrue="1" operator="between">
      <formula>MAX($M$40:$M$55)-0.5</formula>
      <formula>MAX($M$40:$M$55)+0.5</formula>
    </cfRule>
    <cfRule type="cellIs" dxfId="453" priority="17" stopIfTrue="1" operator="between">
      <formula>MAX($M$40:$M$55)-0.5</formula>
      <formula>MAX($M$40:$M$55)-1.5</formula>
    </cfRule>
    <cfRule type="cellIs" dxfId="452" priority="18" stopIfTrue="1" operator="between">
      <formula>MAX($M$40:$M$55)+0.5</formula>
      <formula>MAX($M$40:$M$55)+1.5</formula>
    </cfRule>
  </conditionalFormatting>
  <conditionalFormatting sqref="N40:N48">
    <cfRule type="cellIs" dxfId="451" priority="19" stopIfTrue="1" operator="between">
      <formula>MAX($N$40:$N$55)-0.5</formula>
      <formula>MAX($N$40:$N$55)+0.5</formula>
    </cfRule>
    <cfRule type="cellIs" dxfId="450" priority="20" stopIfTrue="1" operator="between">
      <formula>MAX($N$40:$N$55)-0.5</formula>
      <formula>MAX($N$40:$N$55)-1.5</formula>
    </cfRule>
    <cfRule type="cellIs" dxfId="449" priority="21" stopIfTrue="1" operator="between">
      <formula>MAX($N$40:$N$55)+0.5</formula>
      <formula>MAX($N$40:$N$55)+1.5</formula>
    </cfRule>
  </conditionalFormatting>
  <conditionalFormatting sqref="H15:H23">
    <cfRule type="cellIs" dxfId="448" priority="22" stopIfTrue="1" operator="between">
      <formula>MAX($H$15:$H$23)-0.5</formula>
      <formula>MAX($H$15:$H$23)+0.5</formula>
    </cfRule>
    <cfRule type="cellIs" dxfId="447" priority="23" stopIfTrue="1" operator="between">
      <formula>MAX($H$15:$H$23)-0.5</formula>
      <formula>MAX($H$15:$H$23)-1.5</formula>
    </cfRule>
    <cfRule type="cellIs" dxfId="446" priority="24" stopIfTrue="1" operator="between">
      <formula>MAX($H$15:$H$23)+0.5</formula>
      <formula>MAX($H$15:$H$23)+1.5</formula>
    </cfRule>
  </conditionalFormatting>
  <conditionalFormatting sqref="I15:I23">
    <cfRule type="cellIs" dxfId="445" priority="25" stopIfTrue="1" operator="between">
      <formula>MAX($I$15:$I$23)-0.5</formula>
      <formula>MAX($I$15:$I$23)+0.5</formula>
    </cfRule>
    <cfRule type="cellIs" dxfId="444" priority="26" stopIfTrue="1" operator="between">
      <formula>MAX($I$15:$I$23)-0.5</formula>
      <formula>MAX($I$15:$I$23)-1.5</formula>
    </cfRule>
    <cfRule type="cellIs" dxfId="443" priority="27" stopIfTrue="1" operator="between">
      <formula>MAX($I$15:$I$23)+0.5</formula>
      <formula>MAX($I$15:$I$23)+1.5</formula>
    </cfRule>
  </conditionalFormatting>
  <conditionalFormatting sqref="J15:J23">
    <cfRule type="cellIs" dxfId="442" priority="28" stopIfTrue="1" operator="between">
      <formula>MAX($J$15:$J$23)-0.5</formula>
      <formula>MAX($J$15:$J$23)+0.5</formula>
    </cfRule>
    <cfRule type="cellIs" dxfId="441" priority="29" stopIfTrue="1" operator="between">
      <formula>MAX($J$15:$J$23)-0.5</formula>
      <formula>MAX($J$15:$J$23)-1.5</formula>
    </cfRule>
    <cfRule type="cellIs" dxfId="440" priority="30" stopIfTrue="1" operator="between">
      <formula>MAX($J$15:$J$23)+0.5</formula>
      <formula>MAX($J$15:$J$23)+1.5</formula>
    </cfRule>
  </conditionalFormatting>
  <conditionalFormatting sqref="K15:K23">
    <cfRule type="cellIs" dxfId="439" priority="31" stopIfTrue="1" operator="between">
      <formula>MAX($K$15:$K$23)-0.5</formula>
      <formula>MAX($K$15:$K$23)+0.5</formula>
    </cfRule>
    <cfRule type="cellIs" dxfId="438" priority="32" stopIfTrue="1" operator="between">
      <formula>MAX($K$15:$K$23)-0.5</formula>
      <formula>MAX($K$15:$K$23)-1.5</formula>
    </cfRule>
    <cfRule type="cellIs" dxfId="437" priority="33" stopIfTrue="1" operator="between">
      <formula>MAX($K$15:$K$23)+0.5</formula>
      <formula>MAX($K$15:$K$23)+1.5</formula>
    </cfRule>
  </conditionalFormatting>
  <conditionalFormatting sqref="L15:L23">
    <cfRule type="cellIs" dxfId="436" priority="34" stopIfTrue="1" operator="between">
      <formula>MAX($L$15:$L$23)-0.5</formula>
      <formula>MAX($L$15:$L$23)+0.5</formula>
    </cfRule>
    <cfRule type="cellIs" dxfId="435" priority="35" stopIfTrue="1" operator="between">
      <formula>MAX($L$15:$L$23)-0.5</formula>
      <formula>MAX($L$15:$L$23)-1.5</formula>
    </cfRule>
    <cfRule type="cellIs" dxfId="434" priority="36" stopIfTrue="1" operator="between">
      <formula>MAX($L$15:$L$23)+0.5</formula>
      <formula>MAX($L$15:$L$23)+1.5</formula>
    </cfRule>
  </conditionalFormatting>
  <conditionalFormatting sqref="M15:M23">
    <cfRule type="cellIs" dxfId="433" priority="37" stopIfTrue="1" operator="between">
      <formula>MAX($M$15:$M$23)-0.5</formula>
      <formula>MAX($M$15:$M$23)+0.5</formula>
    </cfRule>
    <cfRule type="cellIs" dxfId="432" priority="38" stopIfTrue="1" operator="between">
      <formula>MAX($M$15:$M$23)-0.5</formula>
      <formula>MAX($M$15:$M$23)-1.5</formula>
    </cfRule>
    <cfRule type="cellIs" dxfId="431" priority="39" stopIfTrue="1" operator="between">
      <formula>MAX($M$15:$M$23)=0.5</formula>
      <formula>MAX($M$15:$M$23)+1.5</formula>
    </cfRule>
  </conditionalFormatting>
  <conditionalFormatting sqref="N15:N23">
    <cfRule type="cellIs" dxfId="430" priority="40" stopIfTrue="1" operator="between">
      <formula>MAX($N$15:$N$23)-0.5</formula>
      <formula>MAX($N$15:$N$23)+0.5</formula>
    </cfRule>
    <cfRule type="cellIs" dxfId="429" priority="41" stopIfTrue="1" operator="between">
      <formula>MAX($N$15:$N$23)-0.5</formula>
      <formula>MAX($N$15:$N$23)-1.5</formula>
    </cfRule>
    <cfRule type="cellIs" dxfId="428" priority="42" stopIfTrue="1" operator="between">
      <formula>MAX($N$15:$N$23)+0.5</formula>
      <formula>MAX($N$15:$N$23)+1.5</formula>
    </cfRule>
  </conditionalFormatting>
  <hyperlinks>
    <hyperlink ref="E5:G5" location="'Wheat (Dry) MR'!A1" display="Go to Marginal Revenue Chart"/>
    <hyperlink ref="H5:J5" location="'Wheat (Dry) Fertilizer'!A1" display="Go to Fertilizer Price as variable"/>
    <hyperlink ref="L5" location="'Data Entry'!A1" display="Return to Data Entry"/>
    <hyperlink ref="G8" location="'Wheat crop price'!D47" display="Go to Total Net Return"/>
    <hyperlink ref="G8:G10" location="'Wheat (Dry) Crop'!D53" display="Go to Total Net Return Below"/>
    <hyperlink ref="G33" location="'Wheat crop price'!D47" display="Go to Total Net Return"/>
    <hyperlink ref="G33:G35" location="'Wheat (Dry) Crop'!D1" display="Return to Net Return"/>
  </hyperlinks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showGridLines="0" workbookViewId="0">
      <selection activeCell="G21" sqref="G21"/>
    </sheetView>
  </sheetViews>
  <sheetFormatPr defaultRowHeight="12.75" x14ac:dyDescent="0.2"/>
  <cols>
    <col min="1" max="1" width="1.5703125" style="10" customWidth="1"/>
    <col min="2" max="2" width="17.140625" style="10" customWidth="1"/>
    <col min="3" max="3" width="9.140625" style="10"/>
    <col min="4" max="4" width="11.140625" style="10" customWidth="1"/>
    <col min="5" max="5" width="9.140625" style="10"/>
    <col min="6" max="6" width="9.42578125" style="10" customWidth="1"/>
    <col min="7" max="7" width="13.5703125" style="10" customWidth="1"/>
    <col min="8" max="14" width="9.140625" style="10"/>
    <col min="15" max="15" width="10.42578125" style="154" customWidth="1"/>
    <col min="16" max="16384" width="9.140625" style="10"/>
  </cols>
  <sheetData>
    <row r="1" spans="1:19" ht="6" customHeight="1" thickBot="1" x14ac:dyDescent="0.25">
      <c r="B1" s="11"/>
      <c r="C1" s="11"/>
      <c r="D1" s="11"/>
      <c r="E1" s="11"/>
      <c r="F1" s="11"/>
      <c r="G1" s="11"/>
      <c r="H1" s="11"/>
      <c r="I1" s="11"/>
      <c r="J1" s="11"/>
    </row>
    <row r="2" spans="1:19" ht="20.25" x14ac:dyDescent="0.3">
      <c r="A2" s="11"/>
      <c r="B2" s="234" t="s">
        <v>40</v>
      </c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6"/>
    </row>
    <row r="3" spans="1:19" ht="20.25" x14ac:dyDescent="0.3">
      <c r="A3" s="11"/>
      <c r="B3" s="237" t="s">
        <v>49</v>
      </c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9"/>
    </row>
    <row r="4" spans="1:19" ht="6.75" customHeight="1" x14ac:dyDescent="0.3">
      <c r="A4" s="11"/>
      <c r="B4" s="13"/>
      <c r="C4" s="14"/>
      <c r="D4" s="14"/>
      <c r="E4" s="14"/>
      <c r="F4" s="14"/>
      <c r="G4" s="14"/>
      <c r="H4" s="14"/>
      <c r="I4" s="14"/>
      <c r="J4" s="14"/>
      <c r="K4" s="12"/>
      <c r="L4" s="12"/>
      <c r="M4" s="12"/>
      <c r="N4" s="15"/>
      <c r="O4" s="159"/>
      <c r="P4" s="158"/>
      <c r="Q4" s="158"/>
    </row>
    <row r="5" spans="1:19" x14ac:dyDescent="0.2">
      <c r="B5" s="198"/>
      <c r="C5" s="199"/>
      <c r="D5" s="199"/>
      <c r="E5" s="233" t="s">
        <v>110</v>
      </c>
      <c r="F5" s="233"/>
      <c r="G5" s="233"/>
      <c r="H5" s="233" t="s">
        <v>74</v>
      </c>
      <c r="I5" s="233"/>
      <c r="J5" s="233"/>
      <c r="K5" s="245" t="s">
        <v>96</v>
      </c>
      <c r="L5" s="244"/>
      <c r="M5" s="244"/>
      <c r="N5" s="15"/>
      <c r="P5" s="158"/>
      <c r="Q5" s="158"/>
    </row>
    <row r="6" spans="1:19" ht="4.5" customHeight="1" thickBot="1" x14ac:dyDescent="0.25">
      <c r="A6" s="16"/>
      <c r="B6" s="17"/>
      <c r="C6" s="18"/>
      <c r="D6" s="18"/>
      <c r="E6" s="18"/>
      <c r="F6" s="18"/>
      <c r="G6" s="18"/>
      <c r="H6" s="18"/>
      <c r="I6" s="18"/>
      <c r="J6" s="18"/>
      <c r="K6" s="12"/>
      <c r="L6" s="12"/>
      <c r="M6" s="12"/>
      <c r="N6" s="15"/>
      <c r="O6" s="159"/>
      <c r="P6" s="158"/>
      <c r="Q6" s="158"/>
    </row>
    <row r="7" spans="1:19" ht="15.75" customHeight="1" thickBot="1" x14ac:dyDescent="0.3">
      <c r="A7" s="16"/>
      <c r="B7" s="240" t="s">
        <v>39</v>
      </c>
      <c r="C7" s="241"/>
      <c r="E7" s="18"/>
      <c r="F7" s="18"/>
      <c r="G7" s="18"/>
      <c r="H7" s="18"/>
      <c r="I7" s="19"/>
      <c r="J7" s="18"/>
      <c r="K7" s="19"/>
      <c r="L7" s="12"/>
      <c r="M7" s="12"/>
      <c r="N7" s="15"/>
      <c r="O7" s="155"/>
    </row>
    <row r="8" spans="1:19" ht="15" customHeight="1" x14ac:dyDescent="0.25">
      <c r="A8" s="16"/>
      <c r="B8" s="87" t="s">
        <v>1</v>
      </c>
      <c r="C8" s="21" t="str">
        <f>'Data Entry'!C7</f>
        <v>UREA</v>
      </c>
      <c r="D8" s="18"/>
      <c r="E8" s="22"/>
      <c r="F8" s="63"/>
      <c r="G8" s="231" t="s">
        <v>100</v>
      </c>
      <c r="H8" s="23"/>
      <c r="I8" s="274" t="s">
        <v>17</v>
      </c>
      <c r="J8" s="275"/>
      <c r="K8" s="275"/>
      <c r="L8" s="275"/>
      <c r="M8" s="275"/>
      <c r="N8" s="24"/>
      <c r="O8" s="155"/>
    </row>
    <row r="9" spans="1:19" ht="15" x14ac:dyDescent="0.2">
      <c r="A9" s="16"/>
      <c r="B9" s="20" t="s">
        <v>3</v>
      </c>
      <c r="C9" s="59">
        <f>'Data Entry'!C8</f>
        <v>700</v>
      </c>
      <c r="D9" s="18"/>
      <c r="E9" s="17"/>
      <c r="F9" s="66"/>
      <c r="G9" s="232"/>
      <c r="H9" s="18"/>
      <c r="I9" s="19"/>
      <c r="J9" s="18"/>
      <c r="K9" s="19"/>
      <c r="L9" s="12"/>
      <c r="M9" s="12"/>
      <c r="N9" s="15"/>
      <c r="O9" s="155"/>
    </row>
    <row r="10" spans="1:19" ht="15" x14ac:dyDescent="0.25">
      <c r="A10" s="16"/>
      <c r="B10" s="20" t="s">
        <v>4</v>
      </c>
      <c r="C10" s="25">
        <f>'Data Entry'!C9</f>
        <v>46</v>
      </c>
      <c r="D10" s="18"/>
      <c r="E10" s="17"/>
      <c r="F10" s="66"/>
      <c r="G10" s="232"/>
      <c r="H10" s="26">
        <f>K10-C14*3</f>
        <v>3.5</v>
      </c>
      <c r="I10" s="26">
        <f>K10-C14*2</f>
        <v>4</v>
      </c>
      <c r="J10" s="26">
        <f>K10-C14</f>
        <v>4.5</v>
      </c>
      <c r="K10" s="27">
        <f>'Data Entry'!F14</f>
        <v>5</v>
      </c>
      <c r="L10" s="26">
        <f>K10+C14</f>
        <v>5.5</v>
      </c>
      <c r="M10" s="26">
        <f>K10+C14*2</f>
        <v>6</v>
      </c>
      <c r="N10" s="28">
        <f>K10+C14*3</f>
        <v>6.5</v>
      </c>
      <c r="O10" s="155"/>
    </row>
    <row r="11" spans="1:19" ht="15" x14ac:dyDescent="0.25">
      <c r="A11" s="16"/>
      <c r="B11" s="20" t="s">
        <v>5</v>
      </c>
      <c r="C11" s="61">
        <f>(C9/((C10/100)*2200))</f>
        <v>0.69169960474308301</v>
      </c>
      <c r="D11" s="18"/>
      <c r="E11" s="17"/>
      <c r="F11" s="66"/>
      <c r="G11" s="29" t="s">
        <v>6</v>
      </c>
      <c r="H11" s="18"/>
      <c r="I11" s="18"/>
      <c r="J11" s="18"/>
      <c r="K11" s="12"/>
      <c r="L11" s="12"/>
      <c r="M11" s="12"/>
      <c r="N11" s="15"/>
      <c r="O11" s="155"/>
    </row>
    <row r="12" spans="1:19" ht="15" x14ac:dyDescent="0.25">
      <c r="A12" s="16"/>
      <c r="B12" s="30" t="s">
        <v>20</v>
      </c>
      <c r="C12" s="31">
        <f>'Data Entry'!C11</f>
        <v>10</v>
      </c>
      <c r="D12" s="18"/>
      <c r="E12" s="32"/>
      <c r="F12" s="70" t="s">
        <v>67</v>
      </c>
      <c r="G12" s="29" t="s">
        <v>7</v>
      </c>
      <c r="H12" s="269" t="s">
        <v>8</v>
      </c>
      <c r="I12" s="269"/>
      <c r="J12" s="269"/>
      <c r="K12" s="269"/>
      <c r="L12" s="269"/>
      <c r="M12" s="269"/>
      <c r="N12" s="270"/>
      <c r="O12" s="155"/>
    </row>
    <row r="13" spans="1:19" ht="15.75" thickBot="1" x14ac:dyDescent="0.3">
      <c r="A13" s="16"/>
      <c r="B13" s="33" t="s">
        <v>106</v>
      </c>
      <c r="C13" s="34"/>
      <c r="D13" s="18"/>
      <c r="E13" s="35" t="s">
        <v>9</v>
      </c>
      <c r="F13" s="73" t="s">
        <v>68</v>
      </c>
      <c r="G13" s="36" t="s">
        <v>10</v>
      </c>
      <c r="H13" s="247" t="s">
        <v>18</v>
      </c>
      <c r="I13" s="247"/>
      <c r="J13" s="247"/>
      <c r="K13" s="247"/>
      <c r="L13" s="247"/>
      <c r="M13" s="247"/>
      <c r="N13" s="248"/>
      <c r="O13" s="153"/>
      <c r="P13"/>
      <c r="Q13"/>
      <c r="R13"/>
      <c r="S13"/>
    </row>
    <row r="14" spans="1:19" ht="15" x14ac:dyDescent="0.25">
      <c r="A14" s="16"/>
      <c r="B14" s="37" t="s">
        <v>108</v>
      </c>
      <c r="C14" s="57">
        <f>'Data Entry'!C13</f>
        <v>0.5</v>
      </c>
      <c r="D14" s="18"/>
      <c r="E14" s="39" t="s">
        <v>11</v>
      </c>
      <c r="F14" s="75" t="s">
        <v>12</v>
      </c>
      <c r="G14" s="40" t="s">
        <v>12</v>
      </c>
      <c r="H14" s="41">
        <f t="shared" ref="H14:N14" si="0">H10/$C$11</f>
        <v>5.0599999999999996</v>
      </c>
      <c r="I14" s="41">
        <f t="shared" si="0"/>
        <v>5.7828571428571429</v>
      </c>
      <c r="J14" s="41">
        <f t="shared" si="0"/>
        <v>6.5057142857142853</v>
      </c>
      <c r="K14" s="41">
        <f t="shared" si="0"/>
        <v>7.2285714285714286</v>
      </c>
      <c r="L14" s="41">
        <f t="shared" si="0"/>
        <v>7.9514285714285711</v>
      </c>
      <c r="M14" s="41">
        <f t="shared" si="0"/>
        <v>8.6742857142857144</v>
      </c>
      <c r="N14" s="42">
        <f t="shared" si="0"/>
        <v>9.3971428571428568</v>
      </c>
      <c r="O14" s="153"/>
      <c r="P14"/>
      <c r="Q14"/>
      <c r="R14"/>
      <c r="S14"/>
    </row>
    <row r="15" spans="1:19" ht="15" x14ac:dyDescent="0.25">
      <c r="A15" s="16"/>
      <c r="B15" s="43" t="s">
        <v>28</v>
      </c>
      <c r="C15" s="34"/>
      <c r="D15" s="18"/>
      <c r="E15" s="44">
        <f>IF((E19-4*$C$12)&lt;0,0,(E19-4*$C$12))</f>
        <v>0</v>
      </c>
      <c r="F15" s="126">
        <f>G15+(-0.0038*($C$16)^2 + 0.5464*($C$16))+14.22</f>
        <v>27.192</v>
      </c>
      <c r="G15" s="126">
        <f>IF(((-0.0038*(E15+$C$16)^2 + 0.5464*(E15+$C$16))-(-0.0038*($C$16)^2 + 0.5464*($C$16)))&lt;0,0,(-0.0038*(E15+$C$16)^2 + 0.5464*(E15+$C$16))-(-0.0038*($C$16)^2 + 0.5464*($C$16)))</f>
        <v>0</v>
      </c>
      <c r="H15" s="135">
        <f t="shared" ref="H15:N23" si="1">(H$10*$G15)-($C$11*($E15))</f>
        <v>0</v>
      </c>
      <c r="I15" s="135">
        <f t="shared" si="1"/>
        <v>0</v>
      </c>
      <c r="J15" s="135">
        <f t="shared" si="1"/>
        <v>0</v>
      </c>
      <c r="K15" s="135">
        <f t="shared" si="1"/>
        <v>0</v>
      </c>
      <c r="L15" s="135">
        <f t="shared" si="1"/>
        <v>0</v>
      </c>
      <c r="M15" s="135">
        <f t="shared" si="1"/>
        <v>0</v>
      </c>
      <c r="N15" s="136">
        <f t="shared" si="1"/>
        <v>0</v>
      </c>
      <c r="O15" s="153"/>
      <c r="P15"/>
      <c r="Q15"/>
      <c r="R15"/>
      <c r="S15"/>
    </row>
    <row r="16" spans="1:19" ht="15" x14ac:dyDescent="0.25">
      <c r="A16" s="16"/>
      <c r="B16" s="37" t="s">
        <v>29</v>
      </c>
      <c r="C16" s="45">
        <f>'Data Entry'!C15</f>
        <v>30</v>
      </c>
      <c r="D16" s="18"/>
      <c r="E16" s="44">
        <f>IF((E20-4*$C$12)&lt;0,0,(E20-4*$C$12))</f>
        <v>10</v>
      </c>
      <c r="F16" s="126">
        <f t="shared" ref="F16:F23" si="2">G16+(-0.0038*($C$16)^2 + 0.5464*($C$16))+14.22</f>
        <v>29.996000000000002</v>
      </c>
      <c r="G16" s="126">
        <f t="shared" ref="G16:G23" si="3">IF(((-0.0038*(E16+$C$16)^2 + 0.5464*(E16+$C$16))-(-0.0038*($C$16)^2 + 0.5464*($C$16)))&lt;0,0,(-0.0038*(E16+$C$16)^2 + 0.5464*(E16+$C$16))-(-0.0038*($C$16)^2 + 0.5464*($C$16)))</f>
        <v>2.804000000000002</v>
      </c>
      <c r="H16" s="135">
        <f t="shared" si="1"/>
        <v>2.8970039525691771</v>
      </c>
      <c r="I16" s="135">
        <f t="shared" si="1"/>
        <v>4.2990039525691781</v>
      </c>
      <c r="J16" s="135">
        <f t="shared" si="1"/>
        <v>5.7010039525691791</v>
      </c>
      <c r="K16" s="135">
        <f t="shared" si="1"/>
        <v>7.1030039525691802</v>
      </c>
      <c r="L16" s="135">
        <f t="shared" si="1"/>
        <v>8.5050039525691812</v>
      </c>
      <c r="M16" s="135">
        <f t="shared" si="1"/>
        <v>9.9070039525691822</v>
      </c>
      <c r="N16" s="136">
        <f t="shared" si="1"/>
        <v>11.309003952569183</v>
      </c>
      <c r="O16" s="153"/>
      <c r="P16"/>
      <c r="Q16"/>
      <c r="R16"/>
      <c r="S16"/>
    </row>
    <row r="17" spans="1:19" ht="15" x14ac:dyDescent="0.25">
      <c r="A17" s="16"/>
      <c r="B17" s="43" t="s">
        <v>30</v>
      </c>
      <c r="C17" s="46"/>
      <c r="D17" s="18"/>
      <c r="E17" s="44">
        <f>IF((E21-4*$C$12)&lt;0,0,(E21-4*$C$12))</f>
        <v>20</v>
      </c>
      <c r="F17" s="126">
        <f t="shared" si="2"/>
        <v>32.04</v>
      </c>
      <c r="G17" s="126">
        <f t="shared" si="3"/>
        <v>4.8480000000000008</v>
      </c>
      <c r="H17" s="135">
        <f t="shared" si="1"/>
        <v>3.1340079051383434</v>
      </c>
      <c r="I17" s="135">
        <f t="shared" si="1"/>
        <v>5.5580079051383429</v>
      </c>
      <c r="J17" s="135">
        <f t="shared" si="1"/>
        <v>7.9820079051383424</v>
      </c>
      <c r="K17" s="135">
        <f t="shared" si="1"/>
        <v>10.406007905138342</v>
      </c>
      <c r="L17" s="135">
        <f t="shared" si="1"/>
        <v>12.830007905138345</v>
      </c>
      <c r="M17" s="135">
        <f t="shared" si="1"/>
        <v>15.254007905138344</v>
      </c>
      <c r="N17" s="136">
        <f t="shared" si="1"/>
        <v>17.678007905138344</v>
      </c>
      <c r="O17" s="153"/>
      <c r="P17"/>
      <c r="Q17"/>
      <c r="R17"/>
      <c r="S17"/>
    </row>
    <row r="18" spans="1:19" ht="15.75" thickBot="1" x14ac:dyDescent="0.3">
      <c r="A18" s="16"/>
      <c r="B18" s="17"/>
      <c r="C18" s="18"/>
      <c r="D18" s="18"/>
      <c r="E18" s="44">
        <f>IF((E22-4*$C$12)&lt;0,0,(E22-4*$C$12))</f>
        <v>30</v>
      </c>
      <c r="F18" s="126">
        <f t="shared" si="2"/>
        <v>33.323999999999998</v>
      </c>
      <c r="G18" s="126">
        <f t="shared" si="3"/>
        <v>6.1319999999999997</v>
      </c>
      <c r="H18" s="135">
        <f t="shared" si="1"/>
        <v>0.71101185770750774</v>
      </c>
      <c r="I18" s="135">
        <f t="shared" si="1"/>
        <v>3.7770118577075067</v>
      </c>
      <c r="J18" s="135">
        <f t="shared" si="1"/>
        <v>6.8430118577075056</v>
      </c>
      <c r="K18" s="135">
        <f t="shared" si="1"/>
        <v>9.9090118577075046</v>
      </c>
      <c r="L18" s="135">
        <f t="shared" si="1"/>
        <v>12.975011857707507</v>
      </c>
      <c r="M18" s="135">
        <f t="shared" si="1"/>
        <v>16.04101185770751</v>
      </c>
      <c r="N18" s="136">
        <f t="shared" si="1"/>
        <v>19.107011857707505</v>
      </c>
      <c r="O18" s="153"/>
      <c r="P18"/>
      <c r="Q18"/>
      <c r="R18"/>
      <c r="S18"/>
    </row>
    <row r="19" spans="1:19" ht="15.75" thickBot="1" x14ac:dyDescent="0.3">
      <c r="A19" s="16"/>
      <c r="B19" s="47"/>
      <c r="C19" s="48"/>
      <c r="D19" s="49" t="s">
        <v>13</v>
      </c>
      <c r="E19" s="50">
        <f>'Data Entry'!H9</f>
        <v>40</v>
      </c>
      <c r="F19" s="126">
        <f t="shared" si="2"/>
        <v>33.847999999999999</v>
      </c>
      <c r="G19" s="126">
        <f t="shared" si="3"/>
        <v>6.655999999999997</v>
      </c>
      <c r="H19" s="135">
        <f t="shared" si="1"/>
        <v>-4.3719841897233316</v>
      </c>
      <c r="I19" s="135">
        <f t="shared" si="1"/>
        <v>-1.0439841897233322</v>
      </c>
      <c r="J19" s="135">
        <f t="shared" si="1"/>
        <v>2.2840158102766672</v>
      </c>
      <c r="K19" s="135">
        <f t="shared" si="1"/>
        <v>5.6120158102766666</v>
      </c>
      <c r="L19" s="135">
        <f t="shared" si="1"/>
        <v>8.9400158102766625</v>
      </c>
      <c r="M19" s="135">
        <f t="shared" si="1"/>
        <v>12.268015810276658</v>
      </c>
      <c r="N19" s="136">
        <f t="shared" si="1"/>
        <v>15.596015810276661</v>
      </c>
      <c r="O19" s="153"/>
      <c r="P19"/>
      <c r="Q19"/>
      <c r="R19"/>
      <c r="S19"/>
    </row>
    <row r="20" spans="1:19" ht="15" x14ac:dyDescent="0.25">
      <c r="A20" s="16"/>
      <c r="B20" s="17"/>
      <c r="C20" s="18"/>
      <c r="D20" s="18"/>
      <c r="E20" s="51">
        <f>E19+C12</f>
        <v>50</v>
      </c>
      <c r="F20" s="126">
        <f t="shared" si="2"/>
        <v>33.612000000000002</v>
      </c>
      <c r="G20" s="126">
        <f t="shared" si="3"/>
        <v>6.4200000000000035</v>
      </c>
      <c r="H20" s="135">
        <f t="shared" si="1"/>
        <v>-12.114980237154136</v>
      </c>
      <c r="I20" s="135">
        <f t="shared" si="1"/>
        <v>-8.9049802371541347</v>
      </c>
      <c r="J20" s="135">
        <f t="shared" si="1"/>
        <v>-5.6949802371541338</v>
      </c>
      <c r="K20" s="135">
        <f t="shared" si="1"/>
        <v>-2.484980237154133</v>
      </c>
      <c r="L20" s="135">
        <f t="shared" si="1"/>
        <v>0.72501976284586789</v>
      </c>
      <c r="M20" s="135">
        <f t="shared" si="1"/>
        <v>3.9350197628458758</v>
      </c>
      <c r="N20" s="136">
        <f t="shared" si="1"/>
        <v>7.1450197628458767</v>
      </c>
      <c r="O20" s="153"/>
      <c r="P20"/>
      <c r="Q20"/>
      <c r="R20"/>
      <c r="S20"/>
    </row>
    <row r="21" spans="1:19" ht="15" x14ac:dyDescent="0.25">
      <c r="A21" s="16"/>
      <c r="B21" s="17"/>
      <c r="C21" s="52"/>
      <c r="D21" s="18"/>
      <c r="E21" s="51">
        <f>E19+2*C12</f>
        <v>60</v>
      </c>
      <c r="F21" s="126">
        <f t="shared" si="2"/>
        <v>32.616</v>
      </c>
      <c r="G21" s="126">
        <f t="shared" si="3"/>
        <v>5.4240000000000013</v>
      </c>
      <c r="H21" s="135">
        <f t="shared" si="1"/>
        <v>-22.517976284584979</v>
      </c>
      <c r="I21" s="135">
        <f t="shared" si="1"/>
        <v>-19.805976284584979</v>
      </c>
      <c r="J21" s="135">
        <f t="shared" si="1"/>
        <v>-17.093976284584979</v>
      </c>
      <c r="K21" s="135">
        <f t="shared" si="1"/>
        <v>-14.381976284584979</v>
      </c>
      <c r="L21" s="135">
        <f t="shared" si="1"/>
        <v>-11.669976284584976</v>
      </c>
      <c r="M21" s="135">
        <f t="shared" si="1"/>
        <v>-8.9579762845849729</v>
      </c>
      <c r="N21" s="136">
        <f t="shared" si="1"/>
        <v>-6.2459762845849767</v>
      </c>
      <c r="O21" s="153"/>
      <c r="P21"/>
      <c r="Q21"/>
      <c r="R21"/>
      <c r="S21"/>
    </row>
    <row r="22" spans="1:19" ht="15" x14ac:dyDescent="0.25">
      <c r="A22" s="16"/>
      <c r="B22" s="17"/>
      <c r="C22" s="18"/>
      <c r="D22" s="18"/>
      <c r="E22" s="51">
        <f>E19+3*C12</f>
        <v>70</v>
      </c>
      <c r="F22" s="126">
        <f t="shared" si="2"/>
        <v>30.86</v>
      </c>
      <c r="G22" s="126">
        <f t="shared" si="3"/>
        <v>3.668000000000001</v>
      </c>
      <c r="H22" s="135">
        <f t="shared" si="1"/>
        <v>-35.580972332015804</v>
      </c>
      <c r="I22" s="135">
        <f t="shared" si="1"/>
        <v>-33.746972332015808</v>
      </c>
      <c r="J22" s="135">
        <f t="shared" si="1"/>
        <v>-31.912972332015809</v>
      </c>
      <c r="K22" s="135">
        <f t="shared" si="1"/>
        <v>-30.078972332015809</v>
      </c>
      <c r="L22" s="135">
        <f t="shared" si="1"/>
        <v>-28.244972332015806</v>
      </c>
      <c r="M22" s="135">
        <f t="shared" si="1"/>
        <v>-26.410972332015806</v>
      </c>
      <c r="N22" s="136">
        <f t="shared" si="1"/>
        <v>-24.576972332015806</v>
      </c>
      <c r="O22" s="153"/>
      <c r="P22"/>
      <c r="Q22"/>
      <c r="R22"/>
      <c r="S22"/>
    </row>
    <row r="23" spans="1:19" ht="15" x14ac:dyDescent="0.25">
      <c r="A23" s="16"/>
      <c r="B23" s="17"/>
      <c r="C23" s="18"/>
      <c r="D23" s="18"/>
      <c r="E23" s="51">
        <f>E19+4*C12</f>
        <v>80</v>
      </c>
      <c r="F23" s="126">
        <f t="shared" si="2"/>
        <v>28.344000000000001</v>
      </c>
      <c r="G23" s="126">
        <f t="shared" si="3"/>
        <v>1.1520000000000028</v>
      </c>
      <c r="H23" s="135">
        <f t="shared" si="1"/>
        <v>-51.30396837944663</v>
      </c>
      <c r="I23" s="135">
        <f t="shared" si="1"/>
        <v>-50.727968379446629</v>
      </c>
      <c r="J23" s="135">
        <f t="shared" si="1"/>
        <v>-50.151968379446629</v>
      </c>
      <c r="K23" s="135">
        <f t="shared" si="1"/>
        <v>-49.575968379446628</v>
      </c>
      <c r="L23" s="135">
        <f t="shared" si="1"/>
        <v>-48.999968379446628</v>
      </c>
      <c r="M23" s="135">
        <f t="shared" si="1"/>
        <v>-48.42396837944662</v>
      </c>
      <c r="N23" s="136">
        <f t="shared" si="1"/>
        <v>-47.84796837944662</v>
      </c>
      <c r="O23" s="153"/>
      <c r="P23"/>
      <c r="Q23"/>
      <c r="R23"/>
      <c r="S23"/>
    </row>
    <row r="24" spans="1:19" ht="13.5" customHeight="1" x14ac:dyDescent="0.2">
      <c r="A24" s="16"/>
      <c r="B24" s="17"/>
      <c r="C24" s="18"/>
      <c r="D24" s="18"/>
      <c r="E24" s="271" t="s">
        <v>52</v>
      </c>
      <c r="F24" s="272"/>
      <c r="G24" s="272"/>
      <c r="H24" s="272"/>
      <c r="I24" s="272"/>
      <c r="J24" s="272"/>
      <c r="K24" s="272"/>
      <c r="L24" s="272"/>
      <c r="M24" s="272"/>
      <c r="N24" s="273"/>
      <c r="O24" s="153"/>
      <c r="P24"/>
      <c r="Q24"/>
      <c r="R24"/>
      <c r="S24"/>
    </row>
    <row r="25" spans="1:19" ht="9.75" customHeight="1" x14ac:dyDescent="0.2">
      <c r="A25" s="16"/>
      <c r="B25" s="17"/>
      <c r="C25" s="18"/>
      <c r="D25" s="18"/>
      <c r="E25" s="266" t="s">
        <v>16</v>
      </c>
      <c r="F25" s="267"/>
      <c r="G25" s="267"/>
      <c r="H25" s="267"/>
      <c r="I25" s="267"/>
      <c r="J25" s="267"/>
      <c r="K25" s="267"/>
      <c r="L25" s="267"/>
      <c r="M25" s="267"/>
      <c r="N25" s="268"/>
      <c r="O25" s="153"/>
      <c r="P25"/>
      <c r="Q25"/>
      <c r="R25"/>
      <c r="S25"/>
    </row>
    <row r="26" spans="1:19" ht="9.75" customHeight="1" x14ac:dyDescent="0.2">
      <c r="A26" s="16"/>
      <c r="B26" s="17"/>
      <c r="C26" s="18"/>
      <c r="D26" s="18"/>
      <c r="E26" s="266" t="s">
        <v>19</v>
      </c>
      <c r="F26" s="267"/>
      <c r="G26" s="267"/>
      <c r="H26" s="267"/>
      <c r="I26" s="267"/>
      <c r="J26" s="267"/>
      <c r="K26" s="267"/>
      <c r="L26" s="267"/>
      <c r="M26" s="267"/>
      <c r="N26" s="268"/>
      <c r="O26" s="153"/>
      <c r="P26"/>
      <c r="Q26"/>
      <c r="R26"/>
      <c r="S26"/>
    </row>
    <row r="27" spans="1:19" ht="11.25" customHeight="1" x14ac:dyDescent="0.2">
      <c r="A27" s="16"/>
      <c r="B27" s="17"/>
      <c r="C27" s="18"/>
      <c r="D27" s="18"/>
      <c r="E27" s="262" t="s">
        <v>85</v>
      </c>
      <c r="F27" s="263"/>
      <c r="G27" s="263"/>
      <c r="H27" s="263"/>
      <c r="I27" s="263"/>
      <c r="J27" s="263"/>
      <c r="K27" s="264"/>
      <c r="L27" s="264"/>
      <c r="M27" s="264"/>
      <c r="N27" s="265"/>
      <c r="O27" s="153"/>
      <c r="P27"/>
      <c r="Q27"/>
      <c r="R27"/>
      <c r="S27"/>
    </row>
    <row r="28" spans="1:19" ht="12" customHeight="1" thickBot="1" x14ac:dyDescent="0.25">
      <c r="A28" s="16"/>
      <c r="B28" s="17"/>
      <c r="C28" s="18"/>
      <c r="D28" s="18"/>
      <c r="E28" s="277" t="s">
        <v>38</v>
      </c>
      <c r="F28" s="278"/>
      <c r="G28" s="279"/>
      <c r="H28" s="279"/>
      <c r="I28" s="279"/>
      <c r="J28" s="279"/>
      <c r="K28" s="280"/>
      <c r="L28" s="280"/>
      <c r="M28" s="280"/>
      <c r="N28" s="281"/>
      <c r="O28" s="153"/>
      <c r="P28"/>
      <c r="Q28"/>
      <c r="R28"/>
      <c r="S28"/>
    </row>
    <row r="29" spans="1:19" ht="11.25" customHeight="1" x14ac:dyDescent="0.2">
      <c r="A29" s="16"/>
      <c r="B29" s="17"/>
      <c r="C29" s="18"/>
      <c r="D29" s="18"/>
      <c r="E29" s="53"/>
      <c r="F29" s="53"/>
      <c r="G29" s="53"/>
      <c r="H29" s="53"/>
      <c r="I29" s="53"/>
      <c r="J29" s="53"/>
      <c r="K29" s="12"/>
      <c r="L29" s="12"/>
      <c r="M29" s="12"/>
      <c r="N29" s="15"/>
      <c r="O29" s="153"/>
      <c r="P29"/>
      <c r="Q29"/>
      <c r="R29"/>
      <c r="S29"/>
    </row>
    <row r="30" spans="1:19" ht="11.25" customHeight="1" thickBot="1" x14ac:dyDescent="0.25">
      <c r="B30" s="252"/>
      <c r="C30" s="253"/>
      <c r="D30" s="253"/>
      <c r="E30" s="253"/>
      <c r="F30" s="253"/>
      <c r="G30" s="253"/>
      <c r="H30" s="253"/>
      <c r="I30" s="253"/>
      <c r="J30" s="253"/>
      <c r="K30" s="55"/>
      <c r="L30" s="55"/>
      <c r="M30" s="55"/>
      <c r="N30" s="56"/>
      <c r="O30" s="153"/>
      <c r="P30"/>
      <c r="Q30"/>
      <c r="R30"/>
      <c r="S30"/>
    </row>
    <row r="31" spans="1:19" ht="5.25" customHeight="1" thickBot="1" x14ac:dyDescent="0.25">
      <c r="N31" s="24"/>
      <c r="O31" s="153"/>
      <c r="P31"/>
      <c r="Q31"/>
      <c r="R31"/>
      <c r="S31"/>
    </row>
    <row r="32" spans="1:19" ht="15.75" customHeight="1" thickBot="1" x14ac:dyDescent="0.3">
      <c r="A32" s="16"/>
      <c r="B32" s="240" t="s">
        <v>39</v>
      </c>
      <c r="C32" s="241"/>
      <c r="E32" s="18"/>
      <c r="F32" s="18"/>
      <c r="G32" s="18"/>
      <c r="H32" s="18"/>
      <c r="I32" s="19"/>
      <c r="J32" s="18"/>
      <c r="K32" s="19"/>
      <c r="L32" s="12"/>
      <c r="M32" s="12"/>
      <c r="N32" s="15"/>
      <c r="O32" s="155"/>
    </row>
    <row r="33" spans="1:19" ht="15" customHeight="1" x14ac:dyDescent="0.25">
      <c r="A33" s="16"/>
      <c r="B33" s="87" t="s">
        <v>1</v>
      </c>
      <c r="C33" s="21" t="str">
        <f>'Data Entry'!C7</f>
        <v>UREA</v>
      </c>
      <c r="D33" s="18"/>
      <c r="F33" s="22"/>
      <c r="G33" s="231" t="s">
        <v>102</v>
      </c>
      <c r="H33" s="23"/>
      <c r="I33" s="274" t="s">
        <v>17</v>
      </c>
      <c r="J33" s="275"/>
      <c r="K33" s="275"/>
      <c r="L33" s="275"/>
      <c r="M33" s="275"/>
      <c r="N33" s="24"/>
      <c r="O33" s="155"/>
    </row>
    <row r="34" spans="1:19" ht="15" x14ac:dyDescent="0.2">
      <c r="A34" s="16"/>
      <c r="B34" s="20" t="s">
        <v>3</v>
      </c>
      <c r="C34" s="179">
        <f>'Data Entry'!C8</f>
        <v>700</v>
      </c>
      <c r="D34" s="18"/>
      <c r="F34" s="17"/>
      <c r="G34" s="232"/>
      <c r="H34" s="18"/>
      <c r="I34" s="19"/>
      <c r="J34" s="18"/>
      <c r="K34" s="19"/>
      <c r="L34" s="12"/>
      <c r="M34" s="12"/>
      <c r="N34" s="15"/>
      <c r="O34" s="155"/>
    </row>
    <row r="35" spans="1:19" ht="15" x14ac:dyDescent="0.25">
      <c r="A35" s="16"/>
      <c r="B35" s="20" t="s">
        <v>4</v>
      </c>
      <c r="C35" s="25">
        <f>'Data Entry'!C9</f>
        <v>46</v>
      </c>
      <c r="D35" s="18"/>
      <c r="F35" s="17"/>
      <c r="G35" s="232"/>
      <c r="H35" s="26">
        <f>K35-C39*3</f>
        <v>3.5</v>
      </c>
      <c r="I35" s="26">
        <f>K35-C39*2</f>
        <v>4</v>
      </c>
      <c r="J35" s="26">
        <f>K35-C39</f>
        <v>4.5</v>
      </c>
      <c r="K35" s="27">
        <f>'Data Entry'!F14</f>
        <v>5</v>
      </c>
      <c r="L35" s="26">
        <f>K35+C39</f>
        <v>5.5</v>
      </c>
      <c r="M35" s="26">
        <f>K35+C39*2</f>
        <v>6</v>
      </c>
      <c r="N35" s="28">
        <f>K35+C39*3</f>
        <v>6.5</v>
      </c>
      <c r="O35" s="155"/>
    </row>
    <row r="36" spans="1:19" ht="15" x14ac:dyDescent="0.25">
      <c r="A36" s="16"/>
      <c r="B36" s="20" t="s">
        <v>5</v>
      </c>
      <c r="C36" s="61">
        <f>(C34/((C35/100)*2200))</f>
        <v>0.69169960474308301</v>
      </c>
      <c r="D36" s="18"/>
      <c r="F36" s="17"/>
      <c r="G36" s="29" t="s">
        <v>6</v>
      </c>
      <c r="H36" s="18"/>
      <c r="I36" s="18"/>
      <c r="J36" s="18"/>
      <c r="K36" s="12"/>
      <c r="L36" s="12"/>
      <c r="M36" s="12"/>
      <c r="N36" s="15"/>
      <c r="O36" s="155"/>
    </row>
    <row r="37" spans="1:19" ht="15" x14ac:dyDescent="0.25">
      <c r="A37" s="16"/>
      <c r="B37" s="30" t="s">
        <v>20</v>
      </c>
      <c r="C37" s="31">
        <f>'Data Entry'!C11</f>
        <v>10</v>
      </c>
      <c r="D37" s="18"/>
      <c r="F37" s="32"/>
      <c r="G37" s="70" t="s">
        <v>67</v>
      </c>
      <c r="H37" s="229" t="s">
        <v>112</v>
      </c>
      <c r="I37" s="229"/>
      <c r="J37" s="229"/>
      <c r="K37" s="229"/>
      <c r="L37" s="229"/>
      <c r="M37" s="229"/>
      <c r="N37" s="230"/>
      <c r="O37" s="153"/>
      <c r="P37"/>
      <c r="Q37"/>
      <c r="R37"/>
      <c r="S37"/>
    </row>
    <row r="38" spans="1:19" ht="15.75" thickBot="1" x14ac:dyDescent="0.3">
      <c r="A38" s="16"/>
      <c r="B38" s="33" t="s">
        <v>106</v>
      </c>
      <c r="C38" s="34"/>
      <c r="D38" s="18"/>
      <c r="F38" s="35" t="s">
        <v>9</v>
      </c>
      <c r="G38" s="73" t="s">
        <v>68</v>
      </c>
      <c r="H38" s="247" t="s">
        <v>18</v>
      </c>
      <c r="I38" s="247"/>
      <c r="J38" s="247"/>
      <c r="K38" s="247"/>
      <c r="L38" s="247"/>
      <c r="M38" s="247"/>
      <c r="N38" s="248"/>
      <c r="O38" s="153"/>
      <c r="P38"/>
      <c r="Q38"/>
      <c r="R38"/>
      <c r="S38"/>
    </row>
    <row r="39" spans="1:19" ht="15" x14ac:dyDescent="0.25">
      <c r="A39" s="16"/>
      <c r="B39" s="37" t="s">
        <v>108</v>
      </c>
      <c r="C39" s="57">
        <f>'Data Entry'!C13</f>
        <v>0.5</v>
      </c>
      <c r="D39" s="18"/>
      <c r="F39" s="39" t="s">
        <v>11</v>
      </c>
      <c r="G39" s="75" t="s">
        <v>12</v>
      </c>
      <c r="H39" s="41">
        <f t="shared" ref="H39:N39" si="4">H35/$C$11</f>
        <v>5.0599999999999996</v>
      </c>
      <c r="I39" s="41">
        <f t="shared" si="4"/>
        <v>5.7828571428571429</v>
      </c>
      <c r="J39" s="41">
        <f t="shared" si="4"/>
        <v>6.5057142857142853</v>
      </c>
      <c r="K39" s="41">
        <f t="shared" si="4"/>
        <v>7.2285714285714286</v>
      </c>
      <c r="L39" s="41">
        <f t="shared" si="4"/>
        <v>7.9514285714285711</v>
      </c>
      <c r="M39" s="41">
        <f t="shared" si="4"/>
        <v>8.6742857142857144</v>
      </c>
      <c r="N39" s="42">
        <f t="shared" si="4"/>
        <v>9.3971428571428568</v>
      </c>
      <c r="O39" s="153"/>
      <c r="P39"/>
      <c r="Q39"/>
      <c r="R39"/>
      <c r="S39"/>
    </row>
    <row r="40" spans="1:19" ht="15" x14ac:dyDescent="0.25">
      <c r="A40" s="16"/>
      <c r="B40" s="43" t="s">
        <v>28</v>
      </c>
      <c r="C40" s="34"/>
      <c r="D40" s="18"/>
      <c r="F40" s="44">
        <f>IF((F44-4*$C$12)&lt;0,0,(F44-4*$C$12))</f>
        <v>0</v>
      </c>
      <c r="G40" s="126">
        <f>G15+(-0.0038*($C$16)^2 + 0.5464*($C$16))+14.22</f>
        <v>27.192</v>
      </c>
      <c r="H40" s="135">
        <f t="shared" ref="H40:N48" si="5">(H$10*$G40)-($C$11*($F40))</f>
        <v>95.171999999999997</v>
      </c>
      <c r="I40" s="135">
        <f t="shared" si="5"/>
        <v>108.768</v>
      </c>
      <c r="J40" s="135">
        <f t="shared" si="5"/>
        <v>122.364</v>
      </c>
      <c r="K40" s="135">
        <f t="shared" si="5"/>
        <v>135.96</v>
      </c>
      <c r="L40" s="135">
        <f t="shared" si="5"/>
        <v>149.55600000000001</v>
      </c>
      <c r="M40" s="135">
        <f t="shared" si="5"/>
        <v>163.15199999999999</v>
      </c>
      <c r="N40" s="136">
        <f t="shared" si="5"/>
        <v>176.74799999999999</v>
      </c>
      <c r="O40" s="153"/>
      <c r="P40"/>
      <c r="Q40"/>
      <c r="R40"/>
      <c r="S40"/>
    </row>
    <row r="41" spans="1:19" ht="15" x14ac:dyDescent="0.25">
      <c r="A41" s="16"/>
      <c r="B41" s="37" t="s">
        <v>29</v>
      </c>
      <c r="C41" s="45">
        <f>'Data Entry'!C15</f>
        <v>30</v>
      </c>
      <c r="D41" s="18"/>
      <c r="F41" s="44">
        <f>IF((F45-4*$C$12)&lt;0,0,(F45-4*$C$12))</f>
        <v>10</v>
      </c>
      <c r="G41" s="126">
        <f t="shared" ref="G41:G48" si="6">G16+(-0.0038*($C$16)^2 + 0.5464*($C$16))+14.22</f>
        <v>29.996000000000002</v>
      </c>
      <c r="H41" s="135">
        <f t="shared" si="5"/>
        <v>98.069003952569176</v>
      </c>
      <c r="I41" s="135">
        <f t="shared" si="5"/>
        <v>113.06700395256918</v>
      </c>
      <c r="J41" s="135">
        <f t="shared" si="5"/>
        <v>128.06500395256916</v>
      </c>
      <c r="K41" s="135">
        <f t="shared" si="5"/>
        <v>143.06300395256918</v>
      </c>
      <c r="L41" s="135">
        <f t="shared" si="5"/>
        <v>158.06100395256917</v>
      </c>
      <c r="M41" s="135">
        <f t="shared" si="5"/>
        <v>173.05900395256916</v>
      </c>
      <c r="N41" s="136">
        <f t="shared" si="5"/>
        <v>188.05700395256918</v>
      </c>
      <c r="O41" s="153"/>
      <c r="P41"/>
      <c r="Q41"/>
      <c r="R41"/>
      <c r="S41"/>
    </row>
    <row r="42" spans="1:19" ht="15" x14ac:dyDescent="0.25">
      <c r="A42" s="16"/>
      <c r="B42" s="43" t="s">
        <v>30</v>
      </c>
      <c r="C42" s="46"/>
      <c r="D42" s="18"/>
      <c r="F42" s="44">
        <f>IF((F46-4*$C$12)&lt;0,0,(F46-4*$C$12))</f>
        <v>20</v>
      </c>
      <c r="G42" s="126">
        <f t="shared" si="6"/>
        <v>32.04</v>
      </c>
      <c r="H42" s="135">
        <f t="shared" si="5"/>
        <v>98.306007905138344</v>
      </c>
      <c r="I42" s="135">
        <f t="shared" si="5"/>
        <v>114.32600790513834</v>
      </c>
      <c r="J42" s="135">
        <f t="shared" si="5"/>
        <v>130.34600790513835</v>
      </c>
      <c r="K42" s="135">
        <f t="shared" si="5"/>
        <v>146.36600790513833</v>
      </c>
      <c r="L42" s="135">
        <f t="shared" si="5"/>
        <v>162.38600790513834</v>
      </c>
      <c r="M42" s="135">
        <f t="shared" si="5"/>
        <v>178.40600790513835</v>
      </c>
      <c r="N42" s="136">
        <f t="shared" si="5"/>
        <v>194.42600790513833</v>
      </c>
      <c r="O42" s="153"/>
      <c r="P42"/>
      <c r="Q42"/>
      <c r="R42"/>
      <c r="S42"/>
    </row>
    <row r="43" spans="1:19" ht="15.75" thickBot="1" x14ac:dyDescent="0.3">
      <c r="A43" s="16"/>
      <c r="B43" s="17"/>
      <c r="C43" s="18"/>
      <c r="D43" s="18"/>
      <c r="F43" s="44">
        <f>IF((F47-4*$C$12)&lt;0,0,(F47-4*$C$12))</f>
        <v>30</v>
      </c>
      <c r="G43" s="126">
        <f t="shared" si="6"/>
        <v>33.323999999999998</v>
      </c>
      <c r="H43" s="135">
        <f t="shared" si="5"/>
        <v>95.883011857707487</v>
      </c>
      <c r="I43" s="135">
        <f t="shared" si="5"/>
        <v>112.54501185770749</v>
      </c>
      <c r="J43" s="135">
        <f t="shared" si="5"/>
        <v>129.2070118577075</v>
      </c>
      <c r="K43" s="135">
        <f t="shared" si="5"/>
        <v>145.86901185770751</v>
      </c>
      <c r="L43" s="135">
        <f t="shared" si="5"/>
        <v>162.53101185770748</v>
      </c>
      <c r="M43" s="135">
        <f t="shared" si="5"/>
        <v>179.19301185770749</v>
      </c>
      <c r="N43" s="136">
        <f t="shared" si="5"/>
        <v>195.8550118577075</v>
      </c>
      <c r="O43" s="153"/>
      <c r="P43"/>
      <c r="Q43"/>
      <c r="R43"/>
      <c r="S43"/>
    </row>
    <row r="44" spans="1:19" ht="15.75" thickBot="1" x14ac:dyDescent="0.3">
      <c r="A44" s="16"/>
      <c r="B44" s="47"/>
      <c r="C44" s="48"/>
      <c r="E44" s="49" t="s">
        <v>13</v>
      </c>
      <c r="F44" s="50">
        <f>E19</f>
        <v>40</v>
      </c>
      <c r="G44" s="126">
        <f t="shared" si="6"/>
        <v>33.847999999999999</v>
      </c>
      <c r="H44" s="135">
        <f t="shared" si="5"/>
        <v>90.800015810276676</v>
      </c>
      <c r="I44" s="135">
        <f t="shared" si="5"/>
        <v>107.72401581027668</v>
      </c>
      <c r="J44" s="135">
        <f t="shared" si="5"/>
        <v>124.64801581027669</v>
      </c>
      <c r="K44" s="135">
        <f t="shared" si="5"/>
        <v>141.5720158102767</v>
      </c>
      <c r="L44" s="135">
        <f t="shared" si="5"/>
        <v>158.49601581027667</v>
      </c>
      <c r="M44" s="135">
        <f t="shared" si="5"/>
        <v>175.42001581027668</v>
      </c>
      <c r="N44" s="136">
        <f t="shared" si="5"/>
        <v>192.34401581027669</v>
      </c>
      <c r="O44" s="153"/>
      <c r="P44"/>
      <c r="Q44"/>
      <c r="R44"/>
      <c r="S44"/>
    </row>
    <row r="45" spans="1:19" ht="15" x14ac:dyDescent="0.25">
      <c r="A45" s="16"/>
      <c r="B45" s="17"/>
      <c r="C45" s="18"/>
      <c r="D45" s="18"/>
      <c r="F45" s="51">
        <f>F44+C37</f>
        <v>50</v>
      </c>
      <c r="G45" s="126">
        <f t="shared" si="6"/>
        <v>33.612000000000002</v>
      </c>
      <c r="H45" s="135">
        <f t="shared" si="5"/>
        <v>83.057019762845869</v>
      </c>
      <c r="I45" s="135">
        <f t="shared" si="5"/>
        <v>99.863019762845852</v>
      </c>
      <c r="J45" s="135">
        <f t="shared" si="5"/>
        <v>116.66901976284586</v>
      </c>
      <c r="K45" s="135">
        <f t="shared" si="5"/>
        <v>133.47501976284585</v>
      </c>
      <c r="L45" s="135">
        <f t="shared" si="5"/>
        <v>150.28101976284586</v>
      </c>
      <c r="M45" s="135">
        <f t="shared" si="5"/>
        <v>167.08701976284587</v>
      </c>
      <c r="N45" s="136">
        <f t="shared" si="5"/>
        <v>183.89301976284585</v>
      </c>
      <c r="O45" s="153"/>
      <c r="P45"/>
      <c r="Q45"/>
      <c r="R45"/>
      <c r="S45"/>
    </row>
    <row r="46" spans="1:19" ht="15" x14ac:dyDescent="0.25">
      <c r="A46" s="16"/>
      <c r="B46" s="17"/>
      <c r="C46" s="52"/>
      <c r="D46" s="18"/>
      <c r="F46" s="51">
        <f>F44+2*C37</f>
        <v>60</v>
      </c>
      <c r="G46" s="126">
        <f t="shared" si="6"/>
        <v>32.616</v>
      </c>
      <c r="H46" s="135">
        <f t="shared" si="5"/>
        <v>72.654023715415022</v>
      </c>
      <c r="I46" s="135">
        <f t="shared" si="5"/>
        <v>88.962023715415015</v>
      </c>
      <c r="J46" s="135">
        <f t="shared" si="5"/>
        <v>105.27002371541501</v>
      </c>
      <c r="K46" s="135">
        <f t="shared" si="5"/>
        <v>121.578023715415</v>
      </c>
      <c r="L46" s="135">
        <f t="shared" si="5"/>
        <v>137.88602371541504</v>
      </c>
      <c r="M46" s="135">
        <f t="shared" si="5"/>
        <v>154.19402371541503</v>
      </c>
      <c r="N46" s="136">
        <f t="shared" si="5"/>
        <v>170.50202371541502</v>
      </c>
      <c r="O46" s="153"/>
      <c r="P46"/>
      <c r="Q46"/>
      <c r="R46"/>
      <c r="S46"/>
    </row>
    <row r="47" spans="1:19" ht="15" x14ac:dyDescent="0.25">
      <c r="A47" s="16"/>
      <c r="B47" s="17"/>
      <c r="C47" s="18"/>
      <c r="D47" s="18"/>
      <c r="F47" s="51">
        <f>F44+3*C37</f>
        <v>70</v>
      </c>
      <c r="G47" s="126">
        <f t="shared" si="6"/>
        <v>30.86</v>
      </c>
      <c r="H47" s="135">
        <f t="shared" si="5"/>
        <v>59.591027667984179</v>
      </c>
      <c r="I47" s="135">
        <f t="shared" si="5"/>
        <v>75.021027667984185</v>
      </c>
      <c r="J47" s="135">
        <f t="shared" si="5"/>
        <v>90.451027667984192</v>
      </c>
      <c r="K47" s="135">
        <f t="shared" si="5"/>
        <v>105.8810276679842</v>
      </c>
      <c r="L47" s="135">
        <f t="shared" si="5"/>
        <v>121.31102766798418</v>
      </c>
      <c r="M47" s="135">
        <f t="shared" si="5"/>
        <v>136.74102766798418</v>
      </c>
      <c r="N47" s="136">
        <f t="shared" si="5"/>
        <v>152.17102766798419</v>
      </c>
      <c r="O47" s="153"/>
      <c r="P47"/>
      <c r="Q47"/>
      <c r="R47"/>
      <c r="S47"/>
    </row>
    <row r="48" spans="1:19" ht="15" x14ac:dyDescent="0.25">
      <c r="A48" s="16"/>
      <c r="B48" s="17"/>
      <c r="C48" s="18"/>
      <c r="D48" s="18"/>
      <c r="F48" s="51">
        <f>F44+4*C37</f>
        <v>80</v>
      </c>
      <c r="G48" s="126">
        <f t="shared" si="6"/>
        <v>28.344000000000001</v>
      </c>
      <c r="H48" s="135">
        <f t="shared" si="5"/>
        <v>43.868031620553367</v>
      </c>
      <c r="I48" s="135">
        <f t="shared" si="5"/>
        <v>58.040031620553364</v>
      </c>
      <c r="J48" s="135">
        <f t="shared" si="5"/>
        <v>72.212031620553361</v>
      </c>
      <c r="K48" s="135">
        <f t="shared" si="5"/>
        <v>86.384031620553358</v>
      </c>
      <c r="L48" s="135">
        <f t="shared" si="5"/>
        <v>100.55603162055336</v>
      </c>
      <c r="M48" s="135">
        <f t="shared" si="5"/>
        <v>114.72803162055338</v>
      </c>
      <c r="N48" s="136">
        <f t="shared" si="5"/>
        <v>128.90003162055336</v>
      </c>
      <c r="O48" s="153"/>
      <c r="P48"/>
      <c r="Q48"/>
      <c r="R48"/>
      <c r="S48"/>
    </row>
    <row r="49" spans="1:19" ht="13.5" customHeight="1" x14ac:dyDescent="0.2">
      <c r="A49" s="16"/>
      <c r="B49" s="17"/>
      <c r="C49" s="18"/>
      <c r="D49" s="18"/>
      <c r="F49" s="180" t="s">
        <v>52</v>
      </c>
      <c r="G49" s="173"/>
      <c r="H49" s="173"/>
      <c r="I49" s="173"/>
      <c r="J49" s="173"/>
      <c r="K49" s="173"/>
      <c r="L49" s="173"/>
      <c r="M49" s="173"/>
      <c r="N49" s="174"/>
      <c r="O49" s="153"/>
      <c r="P49"/>
      <c r="Q49"/>
      <c r="R49"/>
      <c r="S49"/>
    </row>
    <row r="50" spans="1:19" ht="9.75" customHeight="1" x14ac:dyDescent="0.2">
      <c r="A50" s="16"/>
      <c r="B50" s="17"/>
      <c r="C50" s="18"/>
      <c r="D50" s="18"/>
      <c r="F50" s="183" t="s">
        <v>16</v>
      </c>
      <c r="G50" s="175"/>
      <c r="H50" s="175"/>
      <c r="I50" s="175"/>
      <c r="J50" s="175"/>
      <c r="K50" s="175"/>
      <c r="L50" s="175"/>
      <c r="M50" s="175"/>
      <c r="N50" s="176"/>
      <c r="O50" s="153"/>
      <c r="P50"/>
      <c r="Q50"/>
      <c r="R50"/>
      <c r="S50"/>
    </row>
    <row r="51" spans="1:19" ht="9.75" customHeight="1" x14ac:dyDescent="0.2">
      <c r="A51" s="16"/>
      <c r="B51" s="17"/>
      <c r="C51" s="18"/>
      <c r="D51" s="18"/>
      <c r="F51" s="183" t="s">
        <v>99</v>
      </c>
      <c r="G51" s="175"/>
      <c r="H51" s="175"/>
      <c r="I51" s="175"/>
      <c r="J51" s="175"/>
      <c r="K51" s="175"/>
      <c r="L51" s="175"/>
      <c r="M51" s="175"/>
      <c r="N51" s="176"/>
      <c r="O51" s="153"/>
      <c r="P51"/>
      <c r="Q51"/>
      <c r="R51"/>
      <c r="S51"/>
    </row>
    <row r="52" spans="1:19" ht="11.25" customHeight="1" x14ac:dyDescent="0.2">
      <c r="A52" s="16"/>
      <c r="B52" s="17"/>
      <c r="C52" s="18"/>
      <c r="D52" s="18"/>
      <c r="F52" s="79" t="s">
        <v>85</v>
      </c>
      <c r="G52" s="80"/>
      <c r="H52" s="80"/>
      <c r="I52" s="80"/>
      <c r="J52" s="80"/>
      <c r="K52" s="130"/>
      <c r="L52" s="130"/>
      <c r="M52" s="130"/>
      <c r="N52" s="166"/>
      <c r="O52" s="153"/>
      <c r="P52"/>
      <c r="Q52"/>
      <c r="R52"/>
      <c r="S52"/>
    </row>
    <row r="53" spans="1:19" ht="12" customHeight="1" thickBot="1" x14ac:dyDescent="0.25">
      <c r="A53" s="16"/>
      <c r="B53" s="17"/>
      <c r="C53" s="18"/>
      <c r="D53" s="18"/>
      <c r="F53" s="186" t="s">
        <v>38</v>
      </c>
      <c r="G53" s="177"/>
      <c r="H53" s="178"/>
      <c r="I53" s="178"/>
      <c r="J53" s="178"/>
      <c r="K53" s="170"/>
      <c r="L53" s="170"/>
      <c r="M53" s="170"/>
      <c r="N53" s="171"/>
      <c r="O53" s="153"/>
      <c r="P53"/>
      <c r="Q53"/>
      <c r="R53"/>
      <c r="S53"/>
    </row>
    <row r="54" spans="1:19" ht="11.25" customHeight="1" x14ac:dyDescent="0.2">
      <c r="A54" s="16"/>
      <c r="B54" s="17"/>
      <c r="C54" s="18"/>
      <c r="D54" s="18"/>
      <c r="E54" s="53"/>
      <c r="F54" s="53"/>
      <c r="G54" s="53"/>
      <c r="H54" s="53"/>
      <c r="I54" s="53"/>
      <c r="J54" s="53"/>
      <c r="K54" s="12"/>
      <c r="L54" s="12"/>
      <c r="M54" s="12"/>
      <c r="N54" s="15"/>
      <c r="O54" s="153"/>
      <c r="P54"/>
      <c r="Q54"/>
      <c r="R54"/>
      <c r="S54"/>
    </row>
    <row r="55" spans="1:19" ht="11.25" customHeight="1" thickBot="1" x14ac:dyDescent="0.25">
      <c r="B55" s="252"/>
      <c r="C55" s="253"/>
      <c r="D55" s="253"/>
      <c r="E55" s="253"/>
      <c r="F55" s="253"/>
      <c r="G55" s="253"/>
      <c r="H55" s="253"/>
      <c r="I55" s="253"/>
      <c r="J55" s="253"/>
      <c r="K55" s="55"/>
      <c r="L55" s="55"/>
      <c r="M55" s="55"/>
      <c r="N55" s="56"/>
      <c r="O55" s="153"/>
      <c r="P55"/>
      <c r="Q55"/>
      <c r="R55"/>
      <c r="S55"/>
    </row>
    <row r="56" spans="1:19" x14ac:dyDescent="0.2">
      <c r="O56" s="153"/>
      <c r="P56"/>
      <c r="Q56"/>
      <c r="R56"/>
      <c r="S56"/>
    </row>
  </sheetData>
  <sheetProtection password="CE5A" sheet="1" objects="1" scenarios="1"/>
  <mergeCells count="22">
    <mergeCell ref="E5:G5"/>
    <mergeCell ref="H5:J5"/>
    <mergeCell ref="B2:N2"/>
    <mergeCell ref="B3:N3"/>
    <mergeCell ref="K5:M5"/>
    <mergeCell ref="B7:C7"/>
    <mergeCell ref="H38:N38"/>
    <mergeCell ref="E26:N26"/>
    <mergeCell ref="E28:N28"/>
    <mergeCell ref="E27:N27"/>
    <mergeCell ref="H13:N13"/>
    <mergeCell ref="E24:N24"/>
    <mergeCell ref="B55:J55"/>
    <mergeCell ref="G8:G10"/>
    <mergeCell ref="B32:C32"/>
    <mergeCell ref="G33:G35"/>
    <mergeCell ref="I33:M33"/>
    <mergeCell ref="H37:N37"/>
    <mergeCell ref="H12:N12"/>
    <mergeCell ref="B30:J30"/>
    <mergeCell ref="I8:M8"/>
    <mergeCell ref="E25:N25"/>
  </mergeCells>
  <phoneticPr fontId="15" type="noConversion"/>
  <conditionalFormatting sqref="H40:H48">
    <cfRule type="cellIs" dxfId="427" priority="1" stopIfTrue="1" operator="between">
      <formula>MAX($H$40:$H$48)-0.5</formula>
      <formula>MAX($H$40:$H$48)+0.5</formula>
    </cfRule>
    <cfRule type="cellIs" dxfId="426" priority="2" stopIfTrue="1" operator="between">
      <formula>MAX($H$40:$H$48)-0.5</formula>
      <formula>MAX($H$40:$H$48)-1.5</formula>
    </cfRule>
    <cfRule type="cellIs" dxfId="425" priority="3" stopIfTrue="1" operator="between">
      <formula>MAX($H$40:$H$48+0.5)</formula>
      <formula>MAX($H$40:$H$48)+1.5</formula>
    </cfRule>
  </conditionalFormatting>
  <conditionalFormatting sqref="I40:I48">
    <cfRule type="cellIs" dxfId="424" priority="4" stopIfTrue="1" operator="between">
      <formula>MAX($I$40:$I$55)-0.5</formula>
      <formula>MAX($I$40:$I$55)+0.5</formula>
    </cfRule>
    <cfRule type="cellIs" dxfId="423" priority="5" stopIfTrue="1" operator="between">
      <formula>MAX($I$40:$I$55)-0.5</formula>
      <formula>MAX($I$40:$I$55)-1.5</formula>
    </cfRule>
    <cfRule type="cellIs" dxfId="422" priority="6" stopIfTrue="1" operator="between">
      <formula>MAX($I$40:$I$55)+0.5</formula>
      <formula>MAX($I$40:$I$55)+1.5</formula>
    </cfRule>
  </conditionalFormatting>
  <conditionalFormatting sqref="J40:J48">
    <cfRule type="cellIs" dxfId="421" priority="7" stopIfTrue="1" operator="between">
      <formula>MAX($J$40:$J$55)-0.5</formula>
      <formula>MAX($J$40:$J$55)+0.5</formula>
    </cfRule>
    <cfRule type="cellIs" dxfId="420" priority="8" stopIfTrue="1" operator="between">
      <formula>MAX($J$40:$J$55)-0.5</formula>
      <formula>MAX($J$40:$J$55)-1.5</formula>
    </cfRule>
    <cfRule type="cellIs" dxfId="419" priority="9" stopIfTrue="1" operator="between">
      <formula>MAX($J$40:$J$55)+0.5</formula>
      <formula>MAX($J$40:$J$55)+1.5</formula>
    </cfRule>
  </conditionalFormatting>
  <conditionalFormatting sqref="K40:K48">
    <cfRule type="cellIs" dxfId="418" priority="10" stopIfTrue="1" operator="between">
      <formula>MAX($K$40:$K$55)-0.5</formula>
      <formula>MAX($K$40:$K$55)+0.5</formula>
    </cfRule>
    <cfRule type="cellIs" dxfId="417" priority="11" stopIfTrue="1" operator="between">
      <formula>MAX($K$40:$K$55)-0.5</formula>
      <formula>MAX($K$40:$K$55)-1.5</formula>
    </cfRule>
    <cfRule type="cellIs" dxfId="416" priority="12" stopIfTrue="1" operator="between">
      <formula>MAX($K$40:$K$55)+0.5</formula>
      <formula>MAX($K$40:$K$55)+1.5</formula>
    </cfRule>
  </conditionalFormatting>
  <conditionalFormatting sqref="L40:L48">
    <cfRule type="cellIs" dxfId="415" priority="13" stopIfTrue="1" operator="between">
      <formula>MAX($L$40:$L$55)-0.5</formula>
      <formula>MAX($L$40:$L$55)+0.5</formula>
    </cfRule>
    <cfRule type="cellIs" dxfId="414" priority="14" stopIfTrue="1" operator="between">
      <formula>MAX($L$40:$L$55)-0.5</formula>
      <formula>MAX($L$40:$L$55)-1.5</formula>
    </cfRule>
    <cfRule type="cellIs" dxfId="413" priority="15" stopIfTrue="1" operator="between">
      <formula>MAX($L$40:$L$55)+0.5</formula>
      <formula>MAX($L$40:$L$55)+1.5</formula>
    </cfRule>
  </conditionalFormatting>
  <conditionalFormatting sqref="M40:M48">
    <cfRule type="cellIs" dxfId="412" priority="16" stopIfTrue="1" operator="between">
      <formula>MAX($M$40:$M$55)-0.5</formula>
      <formula>MAX($M$40:$M$55)+0.5</formula>
    </cfRule>
    <cfRule type="cellIs" dxfId="411" priority="17" stopIfTrue="1" operator="between">
      <formula>MAX($M$40:$M$55)-0.5</formula>
      <formula>MAX($M$40:$M$55)-1.5</formula>
    </cfRule>
    <cfRule type="cellIs" dxfId="410" priority="18" stopIfTrue="1" operator="between">
      <formula>MAX($M$40:$M$55)+0.5</formula>
      <formula>MAX($M$40:$M$55)+1.5</formula>
    </cfRule>
  </conditionalFormatting>
  <conditionalFormatting sqref="N40:N48">
    <cfRule type="cellIs" dxfId="409" priority="19" stopIfTrue="1" operator="between">
      <formula>MAX($N$40:$N$55)-0.5</formula>
      <formula>MAX($N$40:$N$55)+0.5</formula>
    </cfRule>
    <cfRule type="cellIs" dxfId="408" priority="20" stopIfTrue="1" operator="between">
      <formula>MAX($N$40:$N$55)-0.5</formula>
      <formula>MAX($N$40:$N$55)-1.5</formula>
    </cfRule>
    <cfRule type="cellIs" dxfId="407" priority="21" stopIfTrue="1" operator="between">
      <formula>MAX($N$40:$N$55)+0.5</formula>
      <formula>MAX($N$40:$N$55)+1.5</formula>
    </cfRule>
  </conditionalFormatting>
  <conditionalFormatting sqref="H15:H23">
    <cfRule type="cellIs" dxfId="406" priority="22" stopIfTrue="1" operator="between">
      <formula>MAX($H$15:$H$23)-0.5</formula>
      <formula>MAX($H$15:$H$23)+0.5</formula>
    </cfRule>
    <cfRule type="cellIs" dxfId="405" priority="23" stopIfTrue="1" operator="between">
      <formula>MAX($H$15:$H$23)-0.5</formula>
      <formula>MAX($H$15:$H$23)-1.5</formula>
    </cfRule>
    <cfRule type="cellIs" dxfId="404" priority="24" stopIfTrue="1" operator="between">
      <formula>MAX($H$15:$H$23)+0.5</formula>
      <formula>MAX($H$15:$H$23)+1.5</formula>
    </cfRule>
  </conditionalFormatting>
  <conditionalFormatting sqref="I15:I23">
    <cfRule type="cellIs" dxfId="403" priority="25" stopIfTrue="1" operator="between">
      <formula>MAX($I$15:$I$23)-0.5</formula>
      <formula>MAX($I$15:$I$23)+0.5</formula>
    </cfRule>
    <cfRule type="cellIs" dxfId="402" priority="26" stopIfTrue="1" operator="between">
      <formula>MAX($I$15:$I$23)-0.5</formula>
      <formula>MAX($I$15:$I$23)-1.5</formula>
    </cfRule>
    <cfRule type="cellIs" dxfId="401" priority="27" stopIfTrue="1" operator="between">
      <formula>MAX($I$15:$I$23)+0.5</formula>
      <formula>MAX($I$15:$I$23)+1.5</formula>
    </cfRule>
  </conditionalFormatting>
  <conditionalFormatting sqref="J15:J23">
    <cfRule type="cellIs" dxfId="400" priority="28" stopIfTrue="1" operator="between">
      <formula>MAX($J$15:$J$23)-0.5</formula>
      <formula>MAX($J$15:$J$23)+0.5</formula>
    </cfRule>
    <cfRule type="cellIs" dxfId="399" priority="29" stopIfTrue="1" operator="between">
      <formula>MAX($J$15:$J$23)-0.5</formula>
      <formula>MAX($J$15:$J$23)-1.5</formula>
    </cfRule>
    <cfRule type="cellIs" dxfId="398" priority="30" stopIfTrue="1" operator="between">
      <formula>MAX($J$15:$J$23)+0.5</formula>
      <formula>MAX($J$15:$J$23)+1.5</formula>
    </cfRule>
  </conditionalFormatting>
  <conditionalFormatting sqref="K15:K23">
    <cfRule type="cellIs" dxfId="397" priority="31" stopIfTrue="1" operator="between">
      <formula>MAX($K$15:$K$23)-0.5</formula>
      <formula>MAX($K$15:$K$23)+0.5</formula>
    </cfRule>
    <cfRule type="cellIs" dxfId="396" priority="32" stopIfTrue="1" operator="between">
      <formula>MAX($K$15:$K$23)-0.5</formula>
      <formula>MAX($K$15:$K$23)-1.5</formula>
    </cfRule>
    <cfRule type="cellIs" dxfId="395" priority="33" stopIfTrue="1" operator="between">
      <formula>MAX($K$15:$K$23)+0.5</formula>
      <formula>MAX($K$15:$K$23)+1.5</formula>
    </cfRule>
  </conditionalFormatting>
  <conditionalFormatting sqref="L15:L23">
    <cfRule type="cellIs" dxfId="394" priority="34" stopIfTrue="1" operator="between">
      <formula>MAX($L$15:$L$23)-0.5</formula>
      <formula>MAX($L$15:$L$23)+0.5</formula>
    </cfRule>
    <cfRule type="cellIs" dxfId="393" priority="35" stopIfTrue="1" operator="between">
      <formula>MAX($L$15:$L$23)-0.5</formula>
      <formula>MAX($L$15:$L$23)-1.5</formula>
    </cfRule>
    <cfRule type="cellIs" dxfId="392" priority="36" stopIfTrue="1" operator="between">
      <formula>MAX($L$15:$L$23)+0.5</formula>
      <formula>MAX($L$15:$L$23)+1.5</formula>
    </cfRule>
  </conditionalFormatting>
  <conditionalFormatting sqref="M15:M23">
    <cfRule type="cellIs" dxfId="391" priority="37" stopIfTrue="1" operator="between">
      <formula>MAX($M$15:$M$23)-0.5</formula>
      <formula>MAX($M$15:$M$23)+0.5</formula>
    </cfRule>
    <cfRule type="cellIs" dxfId="390" priority="38" stopIfTrue="1" operator="between">
      <formula>MAX($M$15:$M$23)-0.5</formula>
      <formula>MAX($M$15:$M$23)-1.5</formula>
    </cfRule>
    <cfRule type="cellIs" dxfId="389" priority="39" stopIfTrue="1" operator="between">
      <formula>MAX($M$15:$M$23)=0.5</formula>
      <formula>MAX($M$15:$M$23)+1.5</formula>
    </cfRule>
  </conditionalFormatting>
  <conditionalFormatting sqref="N15:N23">
    <cfRule type="cellIs" dxfId="388" priority="40" stopIfTrue="1" operator="between">
      <formula>MAX($N$15:$N$23)-0.5</formula>
      <formula>MAX($N$15:$N$23)+0.5</formula>
    </cfRule>
    <cfRule type="cellIs" dxfId="387" priority="41" stopIfTrue="1" operator="between">
      <formula>MAX($N$15:$N$23)-0.5</formula>
      <formula>MAX($N$15:$N$23)-1.5</formula>
    </cfRule>
    <cfRule type="cellIs" dxfId="386" priority="42" stopIfTrue="1" operator="between">
      <formula>MAX($N$15:$N$23)+0.5</formula>
      <formula>MAX($N$15:$N$23)+1.5</formula>
    </cfRule>
  </conditionalFormatting>
  <hyperlinks>
    <hyperlink ref="E5:G5" location="'Wheat (Arid) MR'!A1" display="Go to Marginal Revenue Chart"/>
    <hyperlink ref="H5:J5" location="'Wheat (Arid) Fertilizer'!A1" display="Go to Fertilizer as variable"/>
    <hyperlink ref="K5" location="'Data Entry'!A1" display="Return to Data Entry"/>
    <hyperlink ref="G33" location="'Wheat crop price'!D47" display="Go to Total Net Return"/>
    <hyperlink ref="G33:G35" location="'Wheat (Arid) Crop'!D1" display="Return to Net Return"/>
    <hyperlink ref="G8" location="'Wheat crop price'!D47" display="Go to Total Net Return"/>
    <hyperlink ref="G8:G10" location="'Wheat (Arid) Crop'!D53" display="Go to Total Net Return Below"/>
  </hyperlinks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showGridLines="0" workbookViewId="0">
      <selection activeCell="F18" sqref="F18"/>
    </sheetView>
  </sheetViews>
  <sheetFormatPr defaultRowHeight="12.75" x14ac:dyDescent="0.2"/>
  <cols>
    <col min="1" max="1" width="1.5703125" style="10" customWidth="1"/>
    <col min="2" max="2" width="17.28515625" style="10" customWidth="1"/>
    <col min="3" max="3" width="9.28515625" style="10" bestFit="1" customWidth="1"/>
    <col min="4" max="4" width="9.140625" style="10"/>
    <col min="5" max="5" width="9.28515625" style="10" bestFit="1" customWidth="1"/>
    <col min="6" max="6" width="9.28515625" style="10" customWidth="1"/>
    <col min="7" max="7" width="13.5703125" style="10" customWidth="1"/>
    <col min="8" max="11" width="9.28515625" style="10" bestFit="1" customWidth="1"/>
    <col min="12" max="13" width="9.42578125" style="10" bestFit="1" customWidth="1"/>
    <col min="14" max="14" width="9.140625" style="10"/>
    <col min="15" max="15" width="11.42578125" style="10" customWidth="1"/>
    <col min="16" max="16384" width="9.140625" style="10"/>
  </cols>
  <sheetData>
    <row r="1" spans="1:15" ht="6" customHeight="1" thickBot="1" x14ac:dyDescent="0.25">
      <c r="B1" s="11"/>
      <c r="C1" s="11"/>
      <c r="D1" s="11"/>
      <c r="E1" s="11"/>
      <c r="F1" s="11"/>
      <c r="G1" s="11"/>
      <c r="H1" s="11"/>
      <c r="I1" s="11"/>
      <c r="J1" s="11"/>
    </row>
    <row r="2" spans="1:15" ht="18.75" customHeight="1" x14ac:dyDescent="0.3">
      <c r="A2" s="11"/>
      <c r="B2" s="234" t="s">
        <v>40</v>
      </c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6"/>
    </row>
    <row r="3" spans="1:15" ht="20.25" x14ac:dyDescent="0.3">
      <c r="A3" s="11"/>
      <c r="B3" s="237" t="s">
        <v>47</v>
      </c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9"/>
    </row>
    <row r="4" spans="1:15" ht="6.75" customHeight="1" x14ac:dyDescent="0.3">
      <c r="A4" s="11"/>
      <c r="B4" s="13"/>
      <c r="C4" s="14"/>
      <c r="D4" s="14"/>
      <c r="E4" s="14"/>
      <c r="F4" s="14"/>
      <c r="G4" s="14"/>
      <c r="H4" s="14"/>
      <c r="I4" s="14"/>
      <c r="J4" s="14"/>
      <c r="K4" s="12"/>
      <c r="L4" s="12"/>
      <c r="M4" s="12"/>
      <c r="N4" s="15"/>
      <c r="O4" s="162"/>
    </row>
    <row r="5" spans="1:15" x14ac:dyDescent="0.2">
      <c r="B5" s="198"/>
      <c r="C5" s="199"/>
      <c r="D5" s="199"/>
      <c r="E5" s="282" t="s">
        <v>110</v>
      </c>
      <c r="F5" s="283"/>
      <c r="G5" s="283"/>
      <c r="H5" s="282" t="s">
        <v>70</v>
      </c>
      <c r="I5" s="283"/>
      <c r="J5" s="283"/>
      <c r="K5" s="283"/>
      <c r="L5" s="245" t="s">
        <v>96</v>
      </c>
      <c r="M5" s="284"/>
      <c r="N5" s="285"/>
    </row>
    <row r="6" spans="1:15" ht="4.5" customHeight="1" thickBot="1" x14ac:dyDescent="0.25">
      <c r="A6" s="16"/>
      <c r="B6" s="17"/>
      <c r="C6" s="18"/>
      <c r="D6" s="18"/>
      <c r="E6" s="18"/>
      <c r="F6" s="18"/>
      <c r="G6" s="18"/>
      <c r="H6" s="18"/>
      <c r="I6" s="18"/>
      <c r="J6" s="18"/>
      <c r="K6" s="12"/>
      <c r="L6" s="12"/>
      <c r="M6" s="12"/>
      <c r="N6" s="15"/>
    </row>
    <row r="7" spans="1:15" ht="15.75" customHeight="1" thickBot="1" x14ac:dyDescent="0.3">
      <c r="A7" s="16"/>
      <c r="B7" s="240" t="s">
        <v>39</v>
      </c>
      <c r="C7" s="241"/>
      <c r="D7" s="18"/>
      <c r="E7" s="18"/>
      <c r="F7" s="18"/>
      <c r="G7" s="18"/>
      <c r="H7" s="18"/>
      <c r="I7" s="19"/>
      <c r="J7" s="18"/>
      <c r="K7" s="19"/>
      <c r="L7" s="12"/>
      <c r="M7" s="12"/>
      <c r="N7" s="15"/>
      <c r="O7" s="127"/>
    </row>
    <row r="8" spans="1:15" ht="15" customHeight="1" x14ac:dyDescent="0.25">
      <c r="A8" s="16"/>
      <c r="B8" s="87" t="s">
        <v>1</v>
      </c>
      <c r="C8" s="21" t="str">
        <f>'Data Entry'!C7</f>
        <v>UREA</v>
      </c>
      <c r="D8" s="18"/>
      <c r="E8" s="22"/>
      <c r="F8" s="23"/>
      <c r="G8" s="231" t="s">
        <v>100</v>
      </c>
      <c r="H8" s="23"/>
      <c r="I8" s="274" t="s">
        <v>22</v>
      </c>
      <c r="J8" s="275"/>
      <c r="K8" s="275"/>
      <c r="L8" s="275"/>
      <c r="M8" s="275"/>
      <c r="N8" s="24"/>
    </row>
    <row r="9" spans="1:15" ht="15" x14ac:dyDescent="0.2">
      <c r="A9" s="16"/>
      <c r="B9" s="20" t="s">
        <v>3</v>
      </c>
      <c r="C9" s="59">
        <f>'Data Entry'!C8</f>
        <v>700</v>
      </c>
      <c r="D9" s="18"/>
      <c r="E9" s="17"/>
      <c r="F9" s="18"/>
      <c r="G9" s="232"/>
      <c r="H9" s="18"/>
      <c r="I9" s="19"/>
      <c r="J9" s="18"/>
      <c r="K9" s="19"/>
      <c r="L9" s="12"/>
      <c r="M9" s="12"/>
      <c r="N9" s="15"/>
    </row>
    <row r="10" spans="1:15" ht="15" x14ac:dyDescent="0.25">
      <c r="A10" s="16"/>
      <c r="B10" s="20" t="s">
        <v>4</v>
      </c>
      <c r="C10" s="25">
        <f>'Data Entry'!C9</f>
        <v>46</v>
      </c>
      <c r="D10" s="18"/>
      <c r="E10" s="17"/>
      <c r="F10" s="18"/>
      <c r="G10" s="232"/>
      <c r="H10" s="26">
        <f>K10-C14*3</f>
        <v>1</v>
      </c>
      <c r="I10" s="26">
        <f>K10-C14*2</f>
        <v>1.5</v>
      </c>
      <c r="J10" s="26">
        <f>K10-C14</f>
        <v>2</v>
      </c>
      <c r="K10" s="27">
        <f>'Data Entry'!F15</f>
        <v>2.5</v>
      </c>
      <c r="L10" s="26">
        <f>K10+C14</f>
        <v>3</v>
      </c>
      <c r="M10" s="26">
        <f>K10+C14*2</f>
        <v>3.5</v>
      </c>
      <c r="N10" s="28">
        <f>K10+C14*3</f>
        <v>4</v>
      </c>
    </row>
    <row r="11" spans="1:15" ht="15" x14ac:dyDescent="0.25">
      <c r="A11" s="16"/>
      <c r="B11" s="20" t="s">
        <v>5</v>
      </c>
      <c r="C11" s="61">
        <f>(C9/((C10/100)*2200))</f>
        <v>0.69169960474308301</v>
      </c>
      <c r="D11" s="18"/>
      <c r="E11" s="17"/>
      <c r="F11" s="18"/>
      <c r="G11" s="29" t="s">
        <v>6</v>
      </c>
      <c r="H11" s="18"/>
      <c r="I11" s="18"/>
      <c r="J11" s="18"/>
      <c r="K11" s="12"/>
      <c r="L11" s="12"/>
      <c r="M11" s="12"/>
      <c r="N11" s="15"/>
    </row>
    <row r="12" spans="1:15" ht="15" x14ac:dyDescent="0.25">
      <c r="A12" s="16"/>
      <c r="B12" s="30" t="s">
        <v>20</v>
      </c>
      <c r="C12" s="31">
        <f>'Data Entry'!C11</f>
        <v>10</v>
      </c>
      <c r="D12" s="18"/>
      <c r="E12" s="32"/>
      <c r="F12" s="29" t="s">
        <v>67</v>
      </c>
      <c r="G12" s="29" t="s">
        <v>7</v>
      </c>
      <c r="H12" s="269" t="s">
        <v>8</v>
      </c>
      <c r="I12" s="269"/>
      <c r="J12" s="269"/>
      <c r="K12" s="269"/>
      <c r="L12" s="269"/>
      <c r="M12" s="269"/>
      <c r="N12" s="270"/>
    </row>
    <row r="13" spans="1:15" ht="15.75" thickBot="1" x14ac:dyDescent="0.3">
      <c r="A13" s="16"/>
      <c r="B13" s="33" t="s">
        <v>106</v>
      </c>
      <c r="C13" s="34"/>
      <c r="D13" s="18"/>
      <c r="E13" s="35" t="s">
        <v>9</v>
      </c>
      <c r="F13" s="36" t="s">
        <v>68</v>
      </c>
      <c r="G13" s="36" t="s">
        <v>10</v>
      </c>
      <c r="H13" s="247" t="s">
        <v>23</v>
      </c>
      <c r="I13" s="247"/>
      <c r="J13" s="247"/>
      <c r="K13" s="247"/>
      <c r="L13" s="247"/>
      <c r="M13" s="247"/>
      <c r="N13" s="248"/>
    </row>
    <row r="14" spans="1:15" ht="15" x14ac:dyDescent="0.25">
      <c r="A14" s="16"/>
      <c r="B14" s="37" t="s">
        <v>108</v>
      </c>
      <c r="C14" s="38">
        <f>'Data Entry'!C13</f>
        <v>0.5</v>
      </c>
      <c r="D14" s="18"/>
      <c r="E14" s="39" t="s">
        <v>11</v>
      </c>
      <c r="F14" s="40" t="s">
        <v>12</v>
      </c>
      <c r="G14" s="40" t="s">
        <v>12</v>
      </c>
      <c r="H14" s="41">
        <f>H10/$C$11</f>
        <v>1.4457142857142857</v>
      </c>
      <c r="I14" s="41">
        <f t="shared" ref="I14:N14" si="0">I10/$C$11</f>
        <v>2.1685714285714286</v>
      </c>
      <c r="J14" s="41">
        <f t="shared" si="0"/>
        <v>2.8914285714285715</v>
      </c>
      <c r="K14" s="41">
        <f t="shared" si="0"/>
        <v>3.6142857142857143</v>
      </c>
      <c r="L14" s="41">
        <f t="shared" si="0"/>
        <v>4.3371428571428572</v>
      </c>
      <c r="M14" s="41">
        <f t="shared" si="0"/>
        <v>5.0599999999999996</v>
      </c>
      <c r="N14" s="42">
        <f t="shared" si="0"/>
        <v>5.7828571428571429</v>
      </c>
    </row>
    <row r="15" spans="1:15" ht="15" x14ac:dyDescent="0.25">
      <c r="A15" s="16"/>
      <c r="B15" s="43" t="s">
        <v>28</v>
      </c>
      <c r="C15" s="34"/>
      <c r="D15" s="18"/>
      <c r="E15" s="44">
        <f>IF((E19-4*$C$12)&lt;0,0,(E19-4*$C$12))</f>
        <v>50</v>
      </c>
      <c r="F15" s="126">
        <f>G15+(-0.0037*($C$16)^2 + 1.152*($C$16))+34.75</f>
        <v>103.22999999999999</v>
      </c>
      <c r="G15" s="126">
        <f>IF(((-0.0037*(E15+$C$16)^2 +1.152*(E15+$C$16))-(-0.0037*($C$16)^2 + 1.152*($C$16)))&lt;0,0,((-0.0037*(E15+$C$16)^2 +1.152*(E15+$C$16))-(-0.0037*($C$16)^2 + 1.152*($C$16))))</f>
        <v>37.249999999999993</v>
      </c>
      <c r="H15" s="135">
        <f t="shared" ref="H15:H23" si="1">(H$10*$G15)-($C$11*($E15))</f>
        <v>2.6650197628458443</v>
      </c>
      <c r="I15" s="135">
        <f t="shared" ref="I15:N15" si="2">(I$10*$G15)-($C$11*($E15))</f>
        <v>21.290019762845837</v>
      </c>
      <c r="J15" s="135">
        <f t="shared" si="2"/>
        <v>39.915019762845837</v>
      </c>
      <c r="K15" s="135">
        <f t="shared" si="2"/>
        <v>58.540019762845837</v>
      </c>
      <c r="L15" s="135">
        <f t="shared" si="2"/>
        <v>77.165019762845816</v>
      </c>
      <c r="M15" s="135">
        <f t="shared" si="2"/>
        <v>95.790019762845816</v>
      </c>
      <c r="N15" s="136">
        <f t="shared" si="2"/>
        <v>114.41501976284582</v>
      </c>
    </row>
    <row r="16" spans="1:15" ht="15" x14ac:dyDescent="0.25">
      <c r="A16" s="16"/>
      <c r="B16" s="37" t="s">
        <v>29</v>
      </c>
      <c r="C16" s="45">
        <f>'Data Entry'!C15</f>
        <v>30</v>
      </c>
      <c r="D16" s="18"/>
      <c r="E16" s="44">
        <f>IF((E20-4*$C$12)&lt;0,0,(E20-4*$C$12))</f>
        <v>60</v>
      </c>
      <c r="F16" s="126">
        <f t="shared" ref="F16:F23" si="3">G16+(-0.0037*($C$16)^2 + 1.152*($C$16))+34.75</f>
        <v>108.46</v>
      </c>
      <c r="G16" s="126">
        <f t="shared" ref="G16:G23" si="4">IF(((-0.0037*(E16+$C$16)^2 +1.152*(E16+$C$16))-(-0.0037*($C$16)^2 + 1.152*($C$16)))&lt;0,0,((-0.0037*(E16+$C$16)^2 +1.152*(E16+$C$16))-(-0.0037*($C$16)^2 + 1.152*($C$16))))</f>
        <v>42.48</v>
      </c>
      <c r="H16" s="135">
        <f t="shared" si="1"/>
        <v>0.97802371541501287</v>
      </c>
      <c r="I16" s="135">
        <f t="shared" ref="I16:N23" si="5">(I$10*$G16)-($C$11*($E16))</f>
        <v>22.218023715415015</v>
      </c>
      <c r="J16" s="135">
        <f t="shared" si="5"/>
        <v>43.45802371541501</v>
      </c>
      <c r="K16" s="135">
        <f t="shared" si="5"/>
        <v>64.698023715415005</v>
      </c>
      <c r="L16" s="135">
        <f t="shared" si="5"/>
        <v>85.938023715415014</v>
      </c>
      <c r="M16" s="135">
        <f t="shared" si="5"/>
        <v>107.17802371541499</v>
      </c>
      <c r="N16" s="136">
        <f t="shared" si="5"/>
        <v>128.41802371541502</v>
      </c>
    </row>
    <row r="17" spans="1:19" ht="15" x14ac:dyDescent="0.25">
      <c r="A17" s="16"/>
      <c r="B17" s="43" t="s">
        <v>30</v>
      </c>
      <c r="C17" s="46"/>
      <c r="D17" s="18"/>
      <c r="E17" s="44">
        <f>IF((E21-4*$C$12)&lt;0,0,(E21-4*$C$12))</f>
        <v>70</v>
      </c>
      <c r="F17" s="126">
        <f t="shared" si="3"/>
        <v>112.94999999999999</v>
      </c>
      <c r="G17" s="126">
        <f t="shared" si="4"/>
        <v>46.969999999999992</v>
      </c>
      <c r="H17" s="135">
        <f t="shared" si="1"/>
        <v>-1.4489723320158205</v>
      </c>
      <c r="I17" s="135">
        <f t="shared" si="5"/>
        <v>22.036027667984172</v>
      </c>
      <c r="J17" s="135">
        <f t="shared" si="5"/>
        <v>45.521027667984171</v>
      </c>
      <c r="K17" s="135">
        <f t="shared" si="5"/>
        <v>69.006027667984171</v>
      </c>
      <c r="L17" s="135">
        <f t="shared" si="5"/>
        <v>92.491027667984156</v>
      </c>
      <c r="M17" s="135">
        <f t="shared" si="5"/>
        <v>115.97602766798417</v>
      </c>
      <c r="N17" s="136">
        <f t="shared" si="5"/>
        <v>139.46102766798415</v>
      </c>
    </row>
    <row r="18" spans="1:19" ht="15.75" thickBot="1" x14ac:dyDescent="0.3">
      <c r="A18" s="16"/>
      <c r="B18" s="17"/>
      <c r="C18" s="18"/>
      <c r="D18" s="18"/>
      <c r="E18" s="44">
        <f>IF((E22-4*$C$12)&lt;0,0,(E22-4*$C$12))</f>
        <v>80</v>
      </c>
      <c r="F18" s="126">
        <f t="shared" si="3"/>
        <v>116.69999999999999</v>
      </c>
      <c r="G18" s="126">
        <f t="shared" si="4"/>
        <v>50.719999999999992</v>
      </c>
      <c r="H18" s="135">
        <f t="shared" si="1"/>
        <v>-4.6159683794466488</v>
      </c>
      <c r="I18" s="135">
        <f t="shared" si="5"/>
        <v>20.744031620553343</v>
      </c>
      <c r="J18" s="135">
        <f t="shared" si="5"/>
        <v>46.104031620553343</v>
      </c>
      <c r="K18" s="135">
        <f t="shared" si="5"/>
        <v>71.464031620553342</v>
      </c>
      <c r="L18" s="135">
        <f t="shared" si="5"/>
        <v>96.824031620553328</v>
      </c>
      <c r="M18" s="135">
        <f t="shared" si="5"/>
        <v>122.18403162055334</v>
      </c>
      <c r="N18" s="136">
        <f t="shared" si="5"/>
        <v>147.54403162055331</v>
      </c>
    </row>
    <row r="19" spans="1:19" ht="15.75" thickBot="1" x14ac:dyDescent="0.3">
      <c r="A19" s="16"/>
      <c r="B19" s="54"/>
      <c r="C19" s="48"/>
      <c r="D19" s="49" t="s">
        <v>13</v>
      </c>
      <c r="E19" s="50">
        <f>'Data Entry'!F10</f>
        <v>90</v>
      </c>
      <c r="F19" s="192">
        <f t="shared" si="3"/>
        <v>119.70999999999998</v>
      </c>
      <c r="G19" s="126">
        <f t="shared" si="4"/>
        <v>53.729999999999983</v>
      </c>
      <c r="H19" s="135">
        <f t="shared" si="1"/>
        <v>-8.5229644268774862</v>
      </c>
      <c r="I19" s="135">
        <f t="shared" si="5"/>
        <v>18.342035573122502</v>
      </c>
      <c r="J19" s="135">
        <f t="shared" si="5"/>
        <v>45.207035573122496</v>
      </c>
      <c r="K19" s="135">
        <f t="shared" si="5"/>
        <v>72.072035573122491</v>
      </c>
      <c r="L19" s="135">
        <f t="shared" si="5"/>
        <v>98.937035573122472</v>
      </c>
      <c r="M19" s="135">
        <f t="shared" si="5"/>
        <v>125.80203557312248</v>
      </c>
      <c r="N19" s="136">
        <f t="shared" si="5"/>
        <v>152.66703557312246</v>
      </c>
    </row>
    <row r="20" spans="1:19" ht="15" x14ac:dyDescent="0.25">
      <c r="A20" s="16"/>
      <c r="B20" s="17"/>
      <c r="C20" s="18"/>
      <c r="D20" s="18"/>
      <c r="E20" s="51">
        <f>E19+C12</f>
        <v>100</v>
      </c>
      <c r="F20" s="126">
        <f t="shared" si="3"/>
        <v>121.97999999999999</v>
      </c>
      <c r="G20" s="126">
        <f t="shared" si="4"/>
        <v>55.999999999999993</v>
      </c>
      <c r="H20" s="135">
        <f t="shared" si="1"/>
        <v>-13.169960474308304</v>
      </c>
      <c r="I20" s="135">
        <f t="shared" si="5"/>
        <v>14.830039525691689</v>
      </c>
      <c r="J20" s="135">
        <f t="shared" si="5"/>
        <v>42.830039525691689</v>
      </c>
      <c r="K20" s="135">
        <f t="shared" si="5"/>
        <v>70.830039525691674</v>
      </c>
      <c r="L20" s="135">
        <f t="shared" si="5"/>
        <v>98.830039525691674</v>
      </c>
      <c r="M20" s="135">
        <f t="shared" si="5"/>
        <v>126.83003952569167</v>
      </c>
      <c r="N20" s="136">
        <f t="shared" si="5"/>
        <v>154.83003952569169</v>
      </c>
    </row>
    <row r="21" spans="1:19" ht="15" x14ac:dyDescent="0.25">
      <c r="A21" s="16"/>
      <c r="B21" s="17"/>
      <c r="C21" s="18"/>
      <c r="D21" s="18"/>
      <c r="E21" s="51">
        <f>E19+2*C12</f>
        <v>110</v>
      </c>
      <c r="F21" s="126">
        <f t="shared" si="3"/>
        <v>123.50999999999999</v>
      </c>
      <c r="G21" s="126">
        <f t="shared" si="4"/>
        <v>57.529999999999994</v>
      </c>
      <c r="H21" s="135">
        <f t="shared" si="1"/>
        <v>-18.556956521739131</v>
      </c>
      <c r="I21" s="135">
        <f t="shared" si="5"/>
        <v>10.208043478260862</v>
      </c>
      <c r="J21" s="135">
        <f t="shared" si="5"/>
        <v>38.973043478260863</v>
      </c>
      <c r="K21" s="135">
        <f t="shared" si="5"/>
        <v>67.738043478260863</v>
      </c>
      <c r="L21" s="135">
        <f t="shared" si="5"/>
        <v>96.503043478260849</v>
      </c>
      <c r="M21" s="135">
        <f t="shared" si="5"/>
        <v>125.26804347826086</v>
      </c>
      <c r="N21" s="136">
        <f t="shared" si="5"/>
        <v>154.03304347826085</v>
      </c>
    </row>
    <row r="22" spans="1:19" ht="15" x14ac:dyDescent="0.25">
      <c r="A22" s="16"/>
      <c r="B22" s="17"/>
      <c r="C22" s="18"/>
      <c r="D22" s="18"/>
      <c r="E22" s="51">
        <f>E19+3*C12</f>
        <v>120</v>
      </c>
      <c r="F22" s="126">
        <f t="shared" si="3"/>
        <v>124.29999999999998</v>
      </c>
      <c r="G22" s="126">
        <f t="shared" si="4"/>
        <v>58.319999999999986</v>
      </c>
      <c r="H22" s="135">
        <f t="shared" si="1"/>
        <v>-24.683952569169982</v>
      </c>
      <c r="I22" s="135">
        <f t="shared" si="5"/>
        <v>4.4760474308300076</v>
      </c>
      <c r="J22" s="135">
        <f t="shared" si="5"/>
        <v>33.636047430830004</v>
      </c>
      <c r="K22" s="135">
        <f t="shared" si="5"/>
        <v>62.796047430829987</v>
      </c>
      <c r="L22" s="135">
        <f t="shared" si="5"/>
        <v>91.956047430829983</v>
      </c>
      <c r="M22" s="135">
        <f t="shared" si="5"/>
        <v>121.11604743082998</v>
      </c>
      <c r="N22" s="136">
        <f t="shared" si="5"/>
        <v>150.27604743082998</v>
      </c>
    </row>
    <row r="23" spans="1:19" ht="15" x14ac:dyDescent="0.25">
      <c r="A23" s="16"/>
      <c r="B23" s="17"/>
      <c r="C23" s="18"/>
      <c r="D23" s="18"/>
      <c r="E23" s="51">
        <f>E19+4*C12</f>
        <v>130</v>
      </c>
      <c r="F23" s="126">
        <f t="shared" si="3"/>
        <v>124.35</v>
      </c>
      <c r="G23" s="126">
        <f t="shared" si="4"/>
        <v>58.37</v>
      </c>
      <c r="H23" s="135">
        <f t="shared" si="1"/>
        <v>-31.550948616600799</v>
      </c>
      <c r="I23" s="135">
        <f t="shared" si="5"/>
        <v>-2.3659486166008037</v>
      </c>
      <c r="J23" s="135">
        <f t="shared" si="5"/>
        <v>26.819051383399199</v>
      </c>
      <c r="K23" s="135">
        <f t="shared" si="5"/>
        <v>56.004051383399187</v>
      </c>
      <c r="L23" s="135">
        <f t="shared" si="5"/>
        <v>85.189051383399189</v>
      </c>
      <c r="M23" s="135">
        <f t="shared" si="5"/>
        <v>114.37405138339919</v>
      </c>
      <c r="N23" s="136">
        <f t="shared" si="5"/>
        <v>143.55905138339921</v>
      </c>
    </row>
    <row r="24" spans="1:19" ht="13.5" customHeight="1" x14ac:dyDescent="0.2">
      <c r="A24" s="16"/>
      <c r="B24" s="17"/>
      <c r="C24" s="18"/>
      <c r="D24" s="18"/>
      <c r="E24" s="271" t="s">
        <v>53</v>
      </c>
      <c r="F24" s="272"/>
      <c r="G24" s="272"/>
      <c r="H24" s="272"/>
      <c r="I24" s="272"/>
      <c r="J24" s="272"/>
      <c r="K24" s="272"/>
      <c r="L24" s="272"/>
      <c r="M24" s="272"/>
      <c r="N24" s="273"/>
    </row>
    <row r="25" spans="1:19" ht="9.75" customHeight="1" x14ac:dyDescent="0.2">
      <c r="A25" s="16"/>
      <c r="B25" s="17"/>
      <c r="C25" s="18"/>
      <c r="D25" s="18"/>
      <c r="E25" s="266" t="s">
        <v>16</v>
      </c>
      <c r="F25" s="267"/>
      <c r="G25" s="267"/>
      <c r="H25" s="267"/>
      <c r="I25" s="267"/>
      <c r="J25" s="267"/>
      <c r="K25" s="267"/>
      <c r="L25" s="267"/>
      <c r="M25" s="267"/>
      <c r="N25" s="268"/>
    </row>
    <row r="26" spans="1:19" ht="9.75" customHeight="1" x14ac:dyDescent="0.2">
      <c r="A26" s="16"/>
      <c r="B26" s="17"/>
      <c r="C26" s="18"/>
      <c r="D26" s="18"/>
      <c r="E26" s="266" t="s">
        <v>24</v>
      </c>
      <c r="F26" s="267"/>
      <c r="G26" s="267"/>
      <c r="H26" s="267"/>
      <c r="I26" s="267"/>
      <c r="J26" s="267"/>
      <c r="K26" s="267"/>
      <c r="L26" s="267"/>
      <c r="M26" s="267"/>
      <c r="N26" s="268"/>
    </row>
    <row r="27" spans="1:19" ht="11.25" customHeight="1" x14ac:dyDescent="0.2">
      <c r="A27" s="16"/>
      <c r="B27" s="17"/>
      <c r="C27" s="18"/>
      <c r="D27" s="18"/>
      <c r="E27" s="262" t="s">
        <v>87</v>
      </c>
      <c r="F27" s="263"/>
      <c r="G27" s="263"/>
      <c r="H27" s="263"/>
      <c r="I27" s="263"/>
      <c r="J27" s="263"/>
      <c r="K27" s="264"/>
      <c r="L27" s="264"/>
      <c r="M27" s="264"/>
      <c r="N27" s="265"/>
      <c r="O27"/>
      <c r="P27"/>
      <c r="Q27"/>
      <c r="R27"/>
      <c r="S27"/>
    </row>
    <row r="28" spans="1:19" ht="12" customHeight="1" thickBot="1" x14ac:dyDescent="0.25">
      <c r="A28" s="16"/>
      <c r="B28" s="17"/>
      <c r="C28" s="18"/>
      <c r="D28" s="18"/>
      <c r="E28" s="277" t="s">
        <v>38</v>
      </c>
      <c r="F28" s="278"/>
      <c r="G28" s="279"/>
      <c r="H28" s="279"/>
      <c r="I28" s="279"/>
      <c r="J28" s="279"/>
      <c r="K28" s="280"/>
      <c r="L28" s="280"/>
      <c r="M28" s="280"/>
      <c r="N28" s="281"/>
    </row>
    <row r="29" spans="1:19" ht="11.25" customHeight="1" x14ac:dyDescent="0.2">
      <c r="A29" s="16"/>
      <c r="B29" s="17"/>
      <c r="C29" s="18"/>
      <c r="D29" s="18"/>
      <c r="E29" s="53"/>
      <c r="F29" s="53"/>
      <c r="G29" s="53"/>
      <c r="H29" s="53"/>
      <c r="I29" s="53"/>
      <c r="J29" s="53"/>
      <c r="K29" s="12"/>
      <c r="L29" s="12"/>
      <c r="M29" s="12"/>
      <c r="N29" s="15"/>
    </row>
    <row r="30" spans="1:19" ht="11.25" customHeight="1" thickBot="1" x14ac:dyDescent="0.25">
      <c r="B30" s="252"/>
      <c r="C30" s="253"/>
      <c r="D30" s="253"/>
      <c r="E30" s="253"/>
      <c r="F30" s="253"/>
      <c r="G30" s="253"/>
      <c r="H30" s="253"/>
      <c r="I30" s="253"/>
      <c r="J30" s="253"/>
      <c r="K30" s="55"/>
      <c r="L30" s="55"/>
      <c r="M30" s="55"/>
      <c r="N30" s="56"/>
    </row>
    <row r="31" spans="1:19" ht="4.5" customHeight="1" thickBot="1" x14ac:dyDescent="0.25">
      <c r="N31" s="24"/>
    </row>
    <row r="32" spans="1:19" ht="15.75" customHeight="1" thickBot="1" x14ac:dyDescent="0.3">
      <c r="A32" s="16"/>
      <c r="B32" s="240" t="s">
        <v>39</v>
      </c>
      <c r="C32" s="241"/>
      <c r="E32" s="18"/>
      <c r="F32" s="18"/>
      <c r="G32" s="18"/>
      <c r="H32" s="18"/>
      <c r="I32" s="19"/>
      <c r="J32" s="18"/>
      <c r="K32" s="19"/>
      <c r="L32" s="12"/>
      <c r="M32" s="12"/>
      <c r="N32" s="15"/>
      <c r="O32" s="155"/>
    </row>
    <row r="33" spans="1:19" ht="15" customHeight="1" x14ac:dyDescent="0.25">
      <c r="A33" s="16"/>
      <c r="B33" s="87" t="s">
        <v>1</v>
      </c>
      <c r="C33" s="21" t="str">
        <f>'Data Entry'!C7</f>
        <v>UREA</v>
      </c>
      <c r="D33" s="18"/>
      <c r="F33" s="22"/>
      <c r="G33" s="231" t="s">
        <v>102</v>
      </c>
      <c r="H33" s="23"/>
      <c r="I33" s="274" t="s">
        <v>22</v>
      </c>
      <c r="J33" s="275"/>
      <c r="K33" s="275"/>
      <c r="L33" s="275"/>
      <c r="M33" s="275"/>
      <c r="N33" s="24"/>
      <c r="O33" s="155"/>
    </row>
    <row r="34" spans="1:19" ht="15" x14ac:dyDescent="0.2">
      <c r="A34" s="16"/>
      <c r="B34" s="20" t="s">
        <v>3</v>
      </c>
      <c r="C34" s="179">
        <f>'Data Entry'!C8</f>
        <v>700</v>
      </c>
      <c r="D34" s="18"/>
      <c r="F34" s="17"/>
      <c r="G34" s="232"/>
      <c r="H34" s="18"/>
      <c r="I34" s="19"/>
      <c r="J34" s="18"/>
      <c r="K34" s="19"/>
      <c r="L34" s="12"/>
      <c r="M34" s="12"/>
      <c r="N34" s="15"/>
      <c r="O34" s="155"/>
    </row>
    <row r="35" spans="1:19" ht="15" x14ac:dyDescent="0.25">
      <c r="A35" s="16"/>
      <c r="B35" s="20" t="s">
        <v>4</v>
      </c>
      <c r="C35" s="25">
        <f>'Data Entry'!C9</f>
        <v>46</v>
      </c>
      <c r="D35" s="18"/>
      <c r="F35" s="17"/>
      <c r="G35" s="232"/>
      <c r="H35" s="26">
        <f>K35-C39*3</f>
        <v>1</v>
      </c>
      <c r="I35" s="26">
        <f>K35-C39*2</f>
        <v>1.5</v>
      </c>
      <c r="J35" s="26">
        <f>K35-C39</f>
        <v>2</v>
      </c>
      <c r="K35" s="27">
        <f>'Data Entry'!F15</f>
        <v>2.5</v>
      </c>
      <c r="L35" s="26">
        <f>K35+C39</f>
        <v>3</v>
      </c>
      <c r="M35" s="26">
        <f>K35+C39*2</f>
        <v>3.5</v>
      </c>
      <c r="N35" s="28">
        <f>K35+C39*3</f>
        <v>4</v>
      </c>
      <c r="O35" s="155"/>
    </row>
    <row r="36" spans="1:19" ht="15" x14ac:dyDescent="0.25">
      <c r="A36" s="16"/>
      <c r="B36" s="20" t="s">
        <v>5</v>
      </c>
      <c r="C36" s="61">
        <f>(C34/((C35/100)*2200))</f>
        <v>0.69169960474308301</v>
      </c>
      <c r="D36" s="18"/>
      <c r="F36" s="17"/>
      <c r="G36" s="29" t="s">
        <v>6</v>
      </c>
      <c r="H36" s="18"/>
      <c r="I36" s="18"/>
      <c r="J36" s="18"/>
      <c r="K36" s="12"/>
      <c r="L36" s="12"/>
      <c r="M36" s="12"/>
      <c r="N36" s="15"/>
      <c r="O36" s="155"/>
    </row>
    <row r="37" spans="1:19" ht="15" x14ac:dyDescent="0.25">
      <c r="A37" s="16"/>
      <c r="B37" s="30" t="s">
        <v>20</v>
      </c>
      <c r="C37" s="31">
        <f>'Data Entry'!C11</f>
        <v>10</v>
      </c>
      <c r="D37" s="18"/>
      <c r="F37" s="32"/>
      <c r="G37" s="70" t="s">
        <v>67</v>
      </c>
      <c r="H37" s="229" t="s">
        <v>112</v>
      </c>
      <c r="I37" s="229"/>
      <c r="J37" s="229"/>
      <c r="K37" s="229"/>
      <c r="L37" s="229"/>
      <c r="M37" s="229"/>
      <c r="N37" s="230"/>
      <c r="O37" s="153"/>
      <c r="P37"/>
      <c r="Q37"/>
      <c r="R37"/>
      <c r="S37"/>
    </row>
    <row r="38" spans="1:19" ht="15.75" thickBot="1" x14ac:dyDescent="0.3">
      <c r="A38" s="16"/>
      <c r="B38" s="33" t="s">
        <v>106</v>
      </c>
      <c r="C38" s="34"/>
      <c r="D38" s="18"/>
      <c r="F38" s="35" t="s">
        <v>9</v>
      </c>
      <c r="G38" s="73" t="s">
        <v>68</v>
      </c>
      <c r="H38" s="247" t="s">
        <v>23</v>
      </c>
      <c r="I38" s="247"/>
      <c r="J38" s="247"/>
      <c r="K38" s="247"/>
      <c r="L38" s="247"/>
      <c r="M38" s="247"/>
      <c r="N38" s="248"/>
      <c r="O38" s="153"/>
      <c r="P38"/>
      <c r="Q38"/>
      <c r="R38"/>
      <c r="S38"/>
    </row>
    <row r="39" spans="1:19" ht="15" x14ac:dyDescent="0.25">
      <c r="A39" s="16"/>
      <c r="B39" s="37" t="s">
        <v>108</v>
      </c>
      <c r="C39" s="57">
        <f>'Data Entry'!C13</f>
        <v>0.5</v>
      </c>
      <c r="D39" s="18"/>
      <c r="F39" s="39" t="s">
        <v>11</v>
      </c>
      <c r="G39" s="75" t="s">
        <v>12</v>
      </c>
      <c r="H39" s="41">
        <f t="shared" ref="H39:N39" si="6">H35/$C$11</f>
        <v>1.4457142857142857</v>
      </c>
      <c r="I39" s="41">
        <f t="shared" si="6"/>
        <v>2.1685714285714286</v>
      </c>
      <c r="J39" s="41">
        <f t="shared" si="6"/>
        <v>2.8914285714285715</v>
      </c>
      <c r="K39" s="41">
        <f t="shared" si="6"/>
        <v>3.6142857142857143</v>
      </c>
      <c r="L39" s="41">
        <f t="shared" si="6"/>
        <v>4.3371428571428572</v>
      </c>
      <c r="M39" s="41">
        <f t="shared" si="6"/>
        <v>5.0599999999999996</v>
      </c>
      <c r="N39" s="42">
        <f t="shared" si="6"/>
        <v>5.7828571428571429</v>
      </c>
      <c r="O39" s="153"/>
      <c r="P39"/>
      <c r="Q39"/>
      <c r="R39"/>
      <c r="S39"/>
    </row>
    <row r="40" spans="1:19" ht="15" x14ac:dyDescent="0.25">
      <c r="A40" s="16"/>
      <c r="B40" s="43" t="s">
        <v>28</v>
      </c>
      <c r="C40" s="34"/>
      <c r="D40" s="18"/>
      <c r="F40" s="44">
        <f>IF((F44-4*$C$12)&lt;0,0,(F44-4*$C$12))</f>
        <v>50</v>
      </c>
      <c r="G40" s="126">
        <f>G15+(-0.0037*($C$16)^2 + 1.152*($C$16))+34.75</f>
        <v>103.22999999999999</v>
      </c>
      <c r="H40" s="135">
        <f t="shared" ref="H40:N48" si="7">(H$10*$G40)-($C$11*($F40))</f>
        <v>68.645019762845834</v>
      </c>
      <c r="I40" s="135">
        <f t="shared" si="7"/>
        <v>120.26001976284581</v>
      </c>
      <c r="J40" s="135">
        <f t="shared" si="7"/>
        <v>171.87501976284582</v>
      </c>
      <c r="K40" s="135">
        <f t="shared" si="7"/>
        <v>223.49001976284583</v>
      </c>
      <c r="L40" s="135">
        <f t="shared" si="7"/>
        <v>275.10501976284581</v>
      </c>
      <c r="M40" s="135">
        <f t="shared" si="7"/>
        <v>326.72001976284582</v>
      </c>
      <c r="N40" s="136">
        <f t="shared" si="7"/>
        <v>378.33501976284583</v>
      </c>
      <c r="O40" s="153"/>
      <c r="P40"/>
      <c r="Q40"/>
      <c r="R40"/>
      <c r="S40"/>
    </row>
    <row r="41" spans="1:19" ht="15" x14ac:dyDescent="0.25">
      <c r="A41" s="16"/>
      <c r="B41" s="37" t="s">
        <v>29</v>
      </c>
      <c r="C41" s="45">
        <f>'Data Entry'!C15</f>
        <v>30</v>
      </c>
      <c r="D41" s="18"/>
      <c r="F41" s="44">
        <f>IF((F45-4*$C$12)&lt;0,0,(F45-4*$C$12))</f>
        <v>60</v>
      </c>
      <c r="G41" s="126">
        <f t="shared" ref="G41:G48" si="8">G16+(-0.0037*($C$16)^2 + 1.152*($C$16))+34.75</f>
        <v>108.46</v>
      </c>
      <c r="H41" s="135">
        <f t="shared" si="7"/>
        <v>66.95802371541501</v>
      </c>
      <c r="I41" s="135">
        <f t="shared" si="7"/>
        <v>121.18802371541501</v>
      </c>
      <c r="J41" s="135">
        <f t="shared" si="7"/>
        <v>175.41802371541502</v>
      </c>
      <c r="K41" s="135">
        <f t="shared" si="7"/>
        <v>229.64802371541498</v>
      </c>
      <c r="L41" s="135">
        <f t="shared" si="7"/>
        <v>283.878023715415</v>
      </c>
      <c r="M41" s="135">
        <f t="shared" si="7"/>
        <v>338.10802371541496</v>
      </c>
      <c r="N41" s="136">
        <f t="shared" si="7"/>
        <v>392.33802371541498</v>
      </c>
      <c r="O41" s="153"/>
      <c r="P41"/>
      <c r="Q41"/>
      <c r="R41"/>
      <c r="S41"/>
    </row>
    <row r="42" spans="1:19" ht="15" x14ac:dyDescent="0.25">
      <c r="A42" s="16"/>
      <c r="B42" s="43" t="s">
        <v>30</v>
      </c>
      <c r="C42" s="46"/>
      <c r="D42" s="18"/>
      <c r="F42" s="44">
        <f>IF((F46-4*$C$12)&lt;0,0,(F46-4*$C$12))</f>
        <v>70</v>
      </c>
      <c r="G42" s="126">
        <f t="shared" si="8"/>
        <v>112.94999999999999</v>
      </c>
      <c r="H42" s="135">
        <f t="shared" si="7"/>
        <v>64.531027667984176</v>
      </c>
      <c r="I42" s="135">
        <f t="shared" si="7"/>
        <v>121.00602766798417</v>
      </c>
      <c r="J42" s="135">
        <f t="shared" si="7"/>
        <v>177.48102766798416</v>
      </c>
      <c r="K42" s="135">
        <f t="shared" si="7"/>
        <v>233.95602766798419</v>
      </c>
      <c r="L42" s="135">
        <f t="shared" si="7"/>
        <v>290.43102766798415</v>
      </c>
      <c r="M42" s="135">
        <f t="shared" si="7"/>
        <v>346.90602766798412</v>
      </c>
      <c r="N42" s="136">
        <f t="shared" si="7"/>
        <v>403.38102766798414</v>
      </c>
      <c r="O42" s="153"/>
      <c r="P42"/>
      <c r="Q42"/>
      <c r="R42"/>
      <c r="S42"/>
    </row>
    <row r="43" spans="1:19" ht="15.75" thickBot="1" x14ac:dyDescent="0.3">
      <c r="A43" s="16"/>
      <c r="B43" s="17"/>
      <c r="C43" s="18"/>
      <c r="D43" s="18"/>
      <c r="F43" s="44">
        <f>IF((F47-4*$C$12)&lt;0,0,(F47-4*$C$12))</f>
        <v>80</v>
      </c>
      <c r="G43" s="126">
        <f t="shared" si="8"/>
        <v>116.69999999999999</v>
      </c>
      <c r="H43" s="135">
        <f t="shared" si="7"/>
        <v>61.364031620553348</v>
      </c>
      <c r="I43" s="135">
        <f t="shared" si="7"/>
        <v>119.71403162055334</v>
      </c>
      <c r="J43" s="135">
        <f t="shared" si="7"/>
        <v>178.06403162055335</v>
      </c>
      <c r="K43" s="135">
        <f t="shared" si="7"/>
        <v>236.41403162055337</v>
      </c>
      <c r="L43" s="135">
        <f t="shared" si="7"/>
        <v>294.76403162055334</v>
      </c>
      <c r="M43" s="135">
        <f t="shared" si="7"/>
        <v>353.11403162055331</v>
      </c>
      <c r="N43" s="136">
        <f t="shared" si="7"/>
        <v>411.46403162055333</v>
      </c>
      <c r="O43" s="153"/>
      <c r="P43"/>
      <c r="Q43"/>
      <c r="R43"/>
      <c r="S43"/>
    </row>
    <row r="44" spans="1:19" ht="15.75" thickBot="1" x14ac:dyDescent="0.3">
      <c r="A44" s="16"/>
      <c r="B44" s="47"/>
      <c r="C44" s="48"/>
      <c r="E44" s="49" t="s">
        <v>13</v>
      </c>
      <c r="F44" s="50">
        <f>E19</f>
        <v>90</v>
      </c>
      <c r="G44" s="126">
        <f t="shared" si="8"/>
        <v>119.70999999999998</v>
      </c>
      <c r="H44" s="135">
        <f t="shared" si="7"/>
        <v>57.457035573122511</v>
      </c>
      <c r="I44" s="135">
        <f t="shared" si="7"/>
        <v>117.3120355731225</v>
      </c>
      <c r="J44" s="135">
        <f t="shared" si="7"/>
        <v>177.16703557312249</v>
      </c>
      <c r="K44" s="135">
        <f t="shared" si="7"/>
        <v>237.02203557312251</v>
      </c>
      <c r="L44" s="135">
        <f t="shared" si="7"/>
        <v>296.8770355731225</v>
      </c>
      <c r="M44" s="135">
        <f t="shared" si="7"/>
        <v>356.7320355731224</v>
      </c>
      <c r="N44" s="136">
        <f t="shared" si="7"/>
        <v>416.58703557312242</v>
      </c>
      <c r="O44" s="153"/>
      <c r="P44"/>
      <c r="Q44"/>
      <c r="R44"/>
      <c r="S44"/>
    </row>
    <row r="45" spans="1:19" ht="15" x14ac:dyDescent="0.25">
      <c r="A45" s="16"/>
      <c r="B45" s="17"/>
      <c r="C45" s="18"/>
      <c r="D45" s="18"/>
      <c r="F45" s="51">
        <f>F44+C37</f>
        <v>100</v>
      </c>
      <c r="G45" s="126">
        <f t="shared" si="8"/>
        <v>121.97999999999999</v>
      </c>
      <c r="H45" s="135">
        <f t="shared" si="7"/>
        <v>52.810039525691693</v>
      </c>
      <c r="I45" s="135">
        <f t="shared" si="7"/>
        <v>113.80003952569167</v>
      </c>
      <c r="J45" s="135">
        <f t="shared" si="7"/>
        <v>174.79003952569167</v>
      </c>
      <c r="K45" s="135">
        <f t="shared" si="7"/>
        <v>235.78003952569168</v>
      </c>
      <c r="L45" s="135">
        <f t="shared" si="7"/>
        <v>296.77003952569163</v>
      </c>
      <c r="M45" s="135">
        <f t="shared" si="7"/>
        <v>357.76003952569164</v>
      </c>
      <c r="N45" s="136">
        <f t="shared" si="7"/>
        <v>418.75003952569165</v>
      </c>
      <c r="O45" s="153"/>
      <c r="P45"/>
      <c r="Q45"/>
      <c r="R45"/>
      <c r="S45"/>
    </row>
    <row r="46" spans="1:19" ht="15" x14ac:dyDescent="0.25">
      <c r="A46" s="16"/>
      <c r="B46" s="17"/>
      <c r="C46" s="52"/>
      <c r="D46" s="18"/>
      <c r="F46" s="51">
        <f>F44+2*C37</f>
        <v>110</v>
      </c>
      <c r="G46" s="126">
        <f t="shared" si="8"/>
        <v>123.50999999999999</v>
      </c>
      <c r="H46" s="135">
        <f t="shared" si="7"/>
        <v>47.423043478260865</v>
      </c>
      <c r="I46" s="135">
        <f t="shared" si="7"/>
        <v>109.17804347826086</v>
      </c>
      <c r="J46" s="135">
        <f t="shared" si="7"/>
        <v>170.93304347826086</v>
      </c>
      <c r="K46" s="135">
        <f t="shared" si="7"/>
        <v>232.68804347826085</v>
      </c>
      <c r="L46" s="135">
        <f t="shared" si="7"/>
        <v>294.44304347826085</v>
      </c>
      <c r="M46" s="135">
        <f t="shared" si="7"/>
        <v>356.19804347826084</v>
      </c>
      <c r="N46" s="136">
        <f t="shared" si="7"/>
        <v>417.95304347826084</v>
      </c>
      <c r="O46" s="153"/>
      <c r="P46"/>
      <c r="Q46"/>
      <c r="R46"/>
      <c r="S46"/>
    </row>
    <row r="47" spans="1:19" ht="15" x14ac:dyDescent="0.25">
      <c r="A47" s="16"/>
      <c r="B47" s="17"/>
      <c r="C47" s="18"/>
      <c r="D47" s="18"/>
      <c r="F47" s="51">
        <f>F44+3*C37</f>
        <v>120</v>
      </c>
      <c r="G47" s="126">
        <f t="shared" si="8"/>
        <v>124.29999999999998</v>
      </c>
      <c r="H47" s="135">
        <f t="shared" si="7"/>
        <v>41.296047430830015</v>
      </c>
      <c r="I47" s="135">
        <f t="shared" si="7"/>
        <v>103.44604743083002</v>
      </c>
      <c r="J47" s="135">
        <f t="shared" si="7"/>
        <v>165.59604743083</v>
      </c>
      <c r="K47" s="135">
        <f t="shared" si="7"/>
        <v>227.74604743082998</v>
      </c>
      <c r="L47" s="135">
        <f t="shared" si="7"/>
        <v>289.89604743082998</v>
      </c>
      <c r="M47" s="135">
        <f t="shared" si="7"/>
        <v>352.04604743082996</v>
      </c>
      <c r="N47" s="136">
        <f t="shared" si="7"/>
        <v>414.19604743082994</v>
      </c>
      <c r="O47" s="153"/>
      <c r="P47"/>
      <c r="Q47"/>
      <c r="R47"/>
      <c r="S47"/>
    </row>
    <row r="48" spans="1:19" ht="15" x14ac:dyDescent="0.25">
      <c r="A48" s="16"/>
      <c r="B48" s="17"/>
      <c r="C48" s="18"/>
      <c r="D48" s="18"/>
      <c r="F48" s="51">
        <f>F44+4*C37</f>
        <v>130</v>
      </c>
      <c r="G48" s="126">
        <f t="shared" si="8"/>
        <v>124.35</v>
      </c>
      <c r="H48" s="135">
        <f t="shared" si="7"/>
        <v>34.429051383399198</v>
      </c>
      <c r="I48" s="135">
        <f t="shared" si="7"/>
        <v>96.604051383399181</v>
      </c>
      <c r="J48" s="135">
        <f t="shared" si="7"/>
        <v>158.77905138339918</v>
      </c>
      <c r="K48" s="135">
        <f t="shared" si="7"/>
        <v>220.95405138339919</v>
      </c>
      <c r="L48" s="135">
        <f t="shared" si="7"/>
        <v>283.12905138339914</v>
      </c>
      <c r="M48" s="135">
        <f t="shared" si="7"/>
        <v>345.30405138339916</v>
      </c>
      <c r="N48" s="136">
        <f t="shared" si="7"/>
        <v>407.47905138339917</v>
      </c>
      <c r="O48" s="153"/>
      <c r="P48"/>
      <c r="Q48"/>
      <c r="R48"/>
      <c r="S48"/>
    </row>
    <row r="49" spans="1:19" ht="13.5" customHeight="1" x14ac:dyDescent="0.2">
      <c r="A49" s="16"/>
      <c r="B49" s="17"/>
      <c r="C49" s="18"/>
      <c r="D49" s="18"/>
      <c r="F49" s="180" t="s">
        <v>53</v>
      </c>
      <c r="G49" s="173"/>
      <c r="H49" s="173"/>
      <c r="I49" s="173"/>
      <c r="J49" s="173"/>
      <c r="K49" s="173"/>
      <c r="L49" s="173"/>
      <c r="M49" s="173"/>
      <c r="N49" s="174"/>
      <c r="O49" s="153"/>
      <c r="P49"/>
      <c r="Q49"/>
      <c r="R49"/>
      <c r="S49"/>
    </row>
    <row r="50" spans="1:19" ht="9.75" customHeight="1" x14ac:dyDescent="0.2">
      <c r="A50" s="16"/>
      <c r="B50" s="17"/>
      <c r="C50" s="18"/>
      <c r="D50" s="18"/>
      <c r="F50" s="183" t="s">
        <v>16</v>
      </c>
      <c r="G50" s="175"/>
      <c r="H50" s="175"/>
      <c r="I50" s="175"/>
      <c r="J50" s="175"/>
      <c r="K50" s="175"/>
      <c r="L50" s="175"/>
      <c r="M50" s="175"/>
      <c r="N50" s="176"/>
      <c r="O50" s="153"/>
      <c r="P50"/>
      <c r="Q50"/>
      <c r="R50"/>
      <c r="S50"/>
    </row>
    <row r="51" spans="1:19" ht="9.75" customHeight="1" x14ac:dyDescent="0.2">
      <c r="A51" s="16"/>
      <c r="B51" s="17"/>
      <c r="C51" s="18"/>
      <c r="D51" s="18"/>
      <c r="F51" s="183" t="s">
        <v>101</v>
      </c>
      <c r="G51" s="175"/>
      <c r="H51" s="175"/>
      <c r="I51" s="175"/>
      <c r="J51" s="175"/>
      <c r="K51" s="175"/>
      <c r="L51" s="175"/>
      <c r="M51" s="175"/>
      <c r="N51" s="176"/>
      <c r="O51" s="153"/>
      <c r="P51"/>
      <c r="Q51"/>
      <c r="R51"/>
      <c r="S51"/>
    </row>
    <row r="52" spans="1:19" ht="11.25" customHeight="1" x14ac:dyDescent="0.2">
      <c r="A52" s="16"/>
      <c r="B52" s="17"/>
      <c r="C52" s="18"/>
      <c r="D52" s="18"/>
      <c r="F52" s="79" t="s">
        <v>105</v>
      </c>
      <c r="G52" s="80"/>
      <c r="H52" s="80"/>
      <c r="I52" s="80"/>
      <c r="J52" s="80"/>
      <c r="K52" s="130"/>
      <c r="L52" s="130"/>
      <c r="M52" s="130"/>
      <c r="N52" s="166"/>
      <c r="O52" s="153"/>
      <c r="P52"/>
      <c r="Q52"/>
      <c r="R52"/>
      <c r="S52"/>
    </row>
    <row r="53" spans="1:19" ht="12" customHeight="1" thickBot="1" x14ac:dyDescent="0.25">
      <c r="A53" s="16"/>
      <c r="B53" s="17"/>
      <c r="C53" s="18"/>
      <c r="D53" s="18"/>
      <c r="F53" s="186" t="s">
        <v>38</v>
      </c>
      <c r="G53" s="177"/>
      <c r="H53" s="178"/>
      <c r="I53" s="178"/>
      <c r="J53" s="178"/>
      <c r="K53" s="170"/>
      <c r="L53" s="170"/>
      <c r="M53" s="170"/>
      <c r="N53" s="171"/>
      <c r="O53" s="153"/>
      <c r="P53"/>
      <c r="Q53"/>
      <c r="R53"/>
      <c r="S53"/>
    </row>
    <row r="54" spans="1:19" ht="11.25" customHeight="1" x14ac:dyDescent="0.2">
      <c r="A54" s="16"/>
      <c r="B54" s="17"/>
      <c r="C54" s="18"/>
      <c r="D54" s="18"/>
      <c r="E54" s="53"/>
      <c r="F54" s="53"/>
      <c r="G54" s="53"/>
      <c r="H54" s="53"/>
      <c r="I54" s="53"/>
      <c r="J54" s="53"/>
      <c r="K54" s="12"/>
      <c r="L54" s="12"/>
      <c r="M54" s="12"/>
      <c r="N54" s="15"/>
      <c r="O54" s="153"/>
      <c r="P54"/>
      <c r="Q54"/>
      <c r="R54"/>
      <c r="S54"/>
    </row>
    <row r="55" spans="1:19" ht="11.25" customHeight="1" thickBot="1" x14ac:dyDescent="0.25">
      <c r="B55" s="252"/>
      <c r="C55" s="253"/>
      <c r="D55" s="253"/>
      <c r="E55" s="253"/>
      <c r="F55" s="253"/>
      <c r="G55" s="253"/>
      <c r="H55" s="253"/>
      <c r="I55" s="253"/>
      <c r="J55" s="253"/>
      <c r="K55" s="55"/>
      <c r="L55" s="55"/>
      <c r="M55" s="55"/>
      <c r="N55" s="56"/>
      <c r="O55" s="153"/>
      <c r="P55"/>
      <c r="Q55"/>
      <c r="R55"/>
      <c r="S55"/>
    </row>
    <row r="56" spans="1:19" x14ac:dyDescent="0.2">
      <c r="O56" s="153"/>
      <c r="P56"/>
      <c r="Q56"/>
      <c r="R56"/>
      <c r="S56"/>
    </row>
  </sheetData>
  <sheetProtection password="CE5A" sheet="1" objects="1" scenarios="1"/>
  <mergeCells count="22">
    <mergeCell ref="H38:N38"/>
    <mergeCell ref="B55:J55"/>
    <mergeCell ref="G8:G10"/>
    <mergeCell ref="B32:C32"/>
    <mergeCell ref="G33:G35"/>
    <mergeCell ref="I33:M33"/>
    <mergeCell ref="H37:N37"/>
    <mergeCell ref="E24:N24"/>
    <mergeCell ref="E27:N27"/>
    <mergeCell ref="E28:N28"/>
    <mergeCell ref="B30:J30"/>
    <mergeCell ref="E25:N25"/>
    <mergeCell ref="E26:N26"/>
    <mergeCell ref="I8:M8"/>
    <mergeCell ref="H12:N12"/>
    <mergeCell ref="H13:N13"/>
    <mergeCell ref="B2:N2"/>
    <mergeCell ref="B3:N3"/>
    <mergeCell ref="B7:C7"/>
    <mergeCell ref="H5:K5"/>
    <mergeCell ref="E5:G5"/>
    <mergeCell ref="L5:N5"/>
  </mergeCells>
  <phoneticPr fontId="15" type="noConversion"/>
  <conditionalFormatting sqref="I15:I23">
    <cfRule type="cellIs" dxfId="385" priority="1" stopIfTrue="1" operator="between">
      <formula>MAX($I$15:$I$23)-0.5</formula>
      <formula>MAX($I$15:$I$23)+0.5</formula>
    </cfRule>
    <cfRule type="cellIs" dxfId="384" priority="2" stopIfTrue="1" operator="between">
      <formula>MAX($I$15:$I$23)-0.5</formula>
      <formula>MAX($I$15:$I$23)-1.5</formula>
    </cfRule>
    <cfRule type="cellIs" dxfId="383" priority="3" stopIfTrue="1" operator="between">
      <formula>MAX($I$15:$I$23)+0.5</formula>
      <formula>MAX($I$15:$I$23)+1.5</formula>
    </cfRule>
  </conditionalFormatting>
  <conditionalFormatting sqref="J15:J23">
    <cfRule type="cellIs" dxfId="382" priority="4" stopIfTrue="1" operator="between">
      <formula>MAX($J$15:$J$23)-0.5</formula>
      <formula>MAX($J$15:$J$23)+0.5</formula>
    </cfRule>
    <cfRule type="cellIs" dxfId="381" priority="5" stopIfTrue="1" operator="between">
      <formula>MAX($J$15:$J$23)-0.5</formula>
      <formula>MAX($J$15:$J$23)-1.5</formula>
    </cfRule>
    <cfRule type="cellIs" dxfId="380" priority="6" stopIfTrue="1" operator="between">
      <formula>MAX($J$15:$J$23)+0.5</formula>
      <formula>MAX($J$15:$J$23)+1.5</formula>
    </cfRule>
  </conditionalFormatting>
  <conditionalFormatting sqref="K15:K23">
    <cfRule type="cellIs" dxfId="379" priority="7" stopIfTrue="1" operator="between">
      <formula>MAX($K$15:$K$23)-0.5</formula>
      <formula>MAX($K$15:$K$23)+0.5</formula>
    </cfRule>
    <cfRule type="cellIs" dxfId="378" priority="8" stopIfTrue="1" operator="between">
      <formula>MAX($K$15:$K$23)-0.5</formula>
      <formula>MAX($K$15:$K$23)-1.5</formula>
    </cfRule>
    <cfRule type="cellIs" dxfId="377" priority="9" stopIfTrue="1" operator="between">
      <formula>MAX($K$15:$K$23)+0.5</formula>
      <formula>MAX($K$15:$K$23)+1.5</formula>
    </cfRule>
  </conditionalFormatting>
  <conditionalFormatting sqref="L15:L23">
    <cfRule type="cellIs" dxfId="376" priority="10" stopIfTrue="1" operator="between">
      <formula>MAX($L$15:$L$23)-0.5</formula>
      <formula>MAX($L$15:$L$23)+0.5</formula>
    </cfRule>
    <cfRule type="cellIs" dxfId="375" priority="11" stopIfTrue="1" operator="between">
      <formula>MAX($L$15:$L$23)-0.5</formula>
      <formula>MAX($L$15:$L$23)-1.5</formula>
    </cfRule>
    <cfRule type="cellIs" dxfId="374" priority="12" stopIfTrue="1" operator="between">
      <formula>MAX($L$15:$L$23+0.5)</formula>
      <formula>MAX($L$15:$L$23)+1.5</formula>
    </cfRule>
  </conditionalFormatting>
  <conditionalFormatting sqref="M15:M23">
    <cfRule type="cellIs" dxfId="373" priority="13" stopIfTrue="1" operator="between">
      <formula>MAX($M$15:$M$23)-0.5</formula>
      <formula>":$M$23)+0.5"</formula>
    </cfRule>
    <cfRule type="cellIs" dxfId="372" priority="14" stopIfTrue="1" operator="between">
      <formula>MAX($M$15:$M$23)-0.5</formula>
      <formula>MAX($M$15:$M$23)-1.5</formula>
    </cfRule>
    <cfRule type="cellIs" dxfId="371" priority="15" stopIfTrue="1" operator="between">
      <formula>MAX($M$15:$M$23)+0.5</formula>
      <formula>MAX($M$15:$M$23)+1.5</formula>
    </cfRule>
  </conditionalFormatting>
  <conditionalFormatting sqref="N15:N23">
    <cfRule type="cellIs" dxfId="370" priority="16" stopIfTrue="1" operator="between">
      <formula>MAX($N$15:$N$23)-0.5</formula>
      <formula>MAX($N$15:$N$23)+0.5</formula>
    </cfRule>
    <cfRule type="cellIs" dxfId="369" priority="17" stopIfTrue="1" operator="between">
      <formula>MAX($N$15:$N$23)-0.5</formula>
      <formula>MAX($N$15:$N$23)-1.5</formula>
    </cfRule>
    <cfRule type="cellIs" dxfId="368" priority="18" stopIfTrue="1" operator="between">
      <formula>MAX($N$15:$N$23)+0.5</formula>
      <formula>MAX($N$15:$N$23)+1.5</formula>
    </cfRule>
  </conditionalFormatting>
  <conditionalFormatting sqref="H15:H23">
    <cfRule type="cellIs" dxfId="367" priority="19" stopIfTrue="1" operator="between">
      <formula>MAX($H$15:$H$23)-0.5</formula>
      <formula>MAX($H$15:$H$23)+0.5</formula>
    </cfRule>
    <cfRule type="cellIs" dxfId="366" priority="20" stopIfTrue="1" operator="between">
      <formula>MAX($H$15:$H$23)-1.5</formula>
      <formula>MAX($H$15:$H$23)-0.5</formula>
    </cfRule>
    <cfRule type="cellIs" dxfId="365" priority="21" stopIfTrue="1" operator="between">
      <formula>MAX($H$15:$H$23)+0.5</formula>
      <formula>MAX($H$15:$H$23)+1.5</formula>
    </cfRule>
  </conditionalFormatting>
  <conditionalFormatting sqref="H40:H48">
    <cfRule type="cellIs" dxfId="364" priority="22" stopIfTrue="1" operator="between">
      <formula>MAX($H$40:$H$48)-0.5</formula>
      <formula>MAX($H$40:$H$48)+0.5</formula>
    </cfRule>
    <cfRule type="cellIs" dxfId="363" priority="23" stopIfTrue="1" operator="between">
      <formula>MAX($H$40:$H$48)-0.5</formula>
      <formula>MAX($H$40:$H$48)-1.5</formula>
    </cfRule>
    <cfRule type="cellIs" dxfId="362" priority="24" stopIfTrue="1" operator="between">
      <formula>MAX($H$40:$H$48+0.5)</formula>
      <formula>MAX($H$40:$H$48)+1.5</formula>
    </cfRule>
  </conditionalFormatting>
  <conditionalFormatting sqref="I40:I48">
    <cfRule type="cellIs" dxfId="361" priority="25" stopIfTrue="1" operator="between">
      <formula>MAX($I$40:$I$55)-0.5</formula>
      <formula>MAX($I$40:$I$55)+0.5</formula>
    </cfRule>
    <cfRule type="cellIs" dxfId="360" priority="26" stopIfTrue="1" operator="between">
      <formula>MAX($I$40:$I$55)-0.5</formula>
      <formula>MAX($I$40:$I$55)-1.5</formula>
    </cfRule>
    <cfRule type="cellIs" dxfId="359" priority="27" stopIfTrue="1" operator="between">
      <formula>MAX($I$40:$I$55)+0.5</formula>
      <formula>MAX($I$40:$I$55)+1.5</formula>
    </cfRule>
  </conditionalFormatting>
  <conditionalFormatting sqref="J40:J48">
    <cfRule type="cellIs" dxfId="358" priority="28" stopIfTrue="1" operator="between">
      <formula>MAX($J$40:$J$55)-0.5</formula>
      <formula>MAX($J$40:$J$55)+0.5</formula>
    </cfRule>
    <cfRule type="cellIs" dxfId="357" priority="29" stopIfTrue="1" operator="between">
      <formula>MAX($J$40:$J$55)-0.5</formula>
      <formula>MAX($J$40:$J$55)-1.5</formula>
    </cfRule>
    <cfRule type="cellIs" dxfId="356" priority="30" stopIfTrue="1" operator="between">
      <formula>MAX($J$40:$J$55)+0.5</formula>
      <formula>MAX($J$40:$J$55)+1.5</formula>
    </cfRule>
  </conditionalFormatting>
  <conditionalFormatting sqref="K40:K48">
    <cfRule type="cellIs" dxfId="355" priority="31" stopIfTrue="1" operator="between">
      <formula>MAX($K$40:$K$55)-0.5</formula>
      <formula>MAX($K$40:$K$55)+0.5</formula>
    </cfRule>
    <cfRule type="cellIs" dxfId="354" priority="32" stopIfTrue="1" operator="between">
      <formula>MAX($K$40:$K$55)-0.5</formula>
      <formula>MAX($K$40:$K$55)-1.5</formula>
    </cfRule>
    <cfRule type="cellIs" dxfId="353" priority="33" stopIfTrue="1" operator="between">
      <formula>MAX($K$40:$K$55)+0.5</formula>
      <formula>MAX($K$40:$K$55)+1.5</formula>
    </cfRule>
  </conditionalFormatting>
  <conditionalFormatting sqref="L40:L48">
    <cfRule type="cellIs" dxfId="352" priority="34" stopIfTrue="1" operator="between">
      <formula>MAX($L$40:$L$55)-0.5</formula>
      <formula>MAX($L$40:$L$55)+0.5</formula>
    </cfRule>
    <cfRule type="cellIs" dxfId="351" priority="35" stopIfTrue="1" operator="between">
      <formula>MAX($L$40:$L$55)-0.5</formula>
      <formula>MAX($L$40:$L$55)-1.5</formula>
    </cfRule>
    <cfRule type="cellIs" dxfId="350" priority="36" stopIfTrue="1" operator="between">
      <formula>MAX($L$40:$L$55)+0.5</formula>
      <formula>MAX($L$40:$L$55)+1.5</formula>
    </cfRule>
  </conditionalFormatting>
  <conditionalFormatting sqref="M40:M48">
    <cfRule type="cellIs" dxfId="349" priority="37" stopIfTrue="1" operator="between">
      <formula>MAX($M$40:$M$55)-0.5</formula>
      <formula>MAX($M$40:$M$55)+0.5</formula>
    </cfRule>
    <cfRule type="cellIs" dxfId="348" priority="38" stopIfTrue="1" operator="between">
      <formula>MAX($M$40:$M$55)-0.5</formula>
      <formula>MAX($M$40:$M$55)-1.5</formula>
    </cfRule>
    <cfRule type="cellIs" dxfId="347" priority="39" stopIfTrue="1" operator="between">
      <formula>MAX($M$40:$M$55)+0.5</formula>
      <formula>MAX($M$40:$M$55)+1.5</formula>
    </cfRule>
  </conditionalFormatting>
  <conditionalFormatting sqref="N40:N48">
    <cfRule type="cellIs" dxfId="346" priority="40" stopIfTrue="1" operator="between">
      <formula>MAX($N$40:$N$55)-0.5</formula>
      <formula>MAX($N$40:$N$55)+0.5</formula>
    </cfRule>
    <cfRule type="cellIs" dxfId="345" priority="41" stopIfTrue="1" operator="between">
      <formula>MAX($N$40:$N$55)-0.5</formula>
      <formula>MAX($N$40:$N$55)-1.5</formula>
    </cfRule>
    <cfRule type="cellIs" dxfId="344" priority="42" stopIfTrue="1" operator="between">
      <formula>MAX($N$40:$N$55)+0.5</formula>
      <formula>MAX($N$40:$N$55)+1.5</formula>
    </cfRule>
  </conditionalFormatting>
  <hyperlinks>
    <hyperlink ref="E5" location="'Barley (Moist) MR'!A1" display="Go to Marginal Revenue Chart"/>
    <hyperlink ref="H5" location="'Barley (Moist) Fertilizer'!A1" display="Go to Fertilizer Price as a Variable"/>
    <hyperlink ref="L5" location="'Data Entry'!A1" display="Return to Data Entry"/>
    <hyperlink ref="G33" location="'Wheat crop price'!D47" display="Go to Total Net Return"/>
    <hyperlink ref="G33:G35" location="'Barley (Moist) Crop'!D1" display="Return to Net Return"/>
    <hyperlink ref="G8" location="'Wheat crop price'!D47" display="Go to Total Net Return"/>
    <hyperlink ref="G8:G10" location="'Barley (Moist) Crop'!D53" display="Go to Total Net Return Below"/>
  </hyperlinks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showGridLines="0" workbookViewId="0">
      <selection activeCell="D1" sqref="D1"/>
    </sheetView>
  </sheetViews>
  <sheetFormatPr defaultRowHeight="12.75" x14ac:dyDescent="0.2"/>
  <cols>
    <col min="1" max="1" width="1.5703125" style="10" customWidth="1"/>
    <col min="2" max="2" width="17.28515625" style="10" customWidth="1"/>
    <col min="3" max="6" width="9.140625" style="10"/>
    <col min="7" max="7" width="13.5703125" style="10" customWidth="1"/>
    <col min="8" max="14" width="9.140625" style="10"/>
    <col min="15" max="15" width="12.42578125" style="10" customWidth="1"/>
    <col min="16" max="16384" width="9.140625" style="10"/>
  </cols>
  <sheetData>
    <row r="1" spans="1:15" ht="6" customHeight="1" thickBot="1" x14ac:dyDescent="0.25">
      <c r="B1" s="11"/>
      <c r="C1" s="11"/>
      <c r="D1" s="11"/>
      <c r="E1" s="11"/>
      <c r="F1" s="11"/>
      <c r="G1" s="11"/>
      <c r="H1" s="11"/>
      <c r="I1" s="11"/>
      <c r="J1" s="11"/>
    </row>
    <row r="2" spans="1:15" ht="20.25" x14ac:dyDescent="0.3">
      <c r="A2" s="11"/>
      <c r="B2" s="234" t="s">
        <v>40</v>
      </c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6"/>
    </row>
    <row r="3" spans="1:15" ht="20.25" x14ac:dyDescent="0.3">
      <c r="A3" s="11"/>
      <c r="B3" s="237" t="s">
        <v>48</v>
      </c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9"/>
    </row>
    <row r="4" spans="1:15" ht="6.75" customHeight="1" x14ac:dyDescent="0.3">
      <c r="A4" s="11"/>
      <c r="B4" s="13"/>
      <c r="C4" s="14"/>
      <c r="D4" s="14"/>
      <c r="E4" s="14"/>
      <c r="F4" s="14"/>
      <c r="G4" s="14"/>
      <c r="H4" s="14"/>
      <c r="I4" s="14"/>
      <c r="J4" s="14"/>
      <c r="K4" s="12"/>
      <c r="L4" s="12"/>
      <c r="M4" s="12"/>
      <c r="N4" s="15"/>
      <c r="O4" s="161"/>
    </row>
    <row r="5" spans="1:15" x14ac:dyDescent="0.2">
      <c r="B5" s="198"/>
      <c r="C5" s="199"/>
      <c r="D5" s="199"/>
      <c r="E5" s="282" t="s">
        <v>110</v>
      </c>
      <c r="F5" s="283"/>
      <c r="G5" s="283"/>
      <c r="H5" s="282" t="s">
        <v>70</v>
      </c>
      <c r="I5" s="283"/>
      <c r="J5" s="283"/>
      <c r="K5" s="283"/>
      <c r="L5" s="245" t="s">
        <v>96</v>
      </c>
      <c r="M5" s="283"/>
      <c r="N5" s="285"/>
    </row>
    <row r="6" spans="1:15" ht="4.5" customHeight="1" thickBot="1" x14ac:dyDescent="0.25">
      <c r="A6" s="16"/>
      <c r="B6" s="17"/>
      <c r="C6" s="18"/>
      <c r="D6" s="18"/>
      <c r="E6" s="18"/>
      <c r="F6" s="18"/>
      <c r="G6" s="18"/>
      <c r="H6" s="18"/>
      <c r="I6" s="18"/>
      <c r="J6" s="18"/>
      <c r="K6" s="12"/>
      <c r="L6" s="12"/>
      <c r="M6" s="12"/>
      <c r="N6" s="15"/>
      <c r="O6" s="158"/>
    </row>
    <row r="7" spans="1:15" ht="15.75" customHeight="1" thickBot="1" x14ac:dyDescent="0.3">
      <c r="A7" s="16"/>
      <c r="B7" s="240" t="s">
        <v>39</v>
      </c>
      <c r="C7" s="241"/>
      <c r="D7" s="18"/>
      <c r="E7" s="18"/>
      <c r="F7" s="18"/>
      <c r="G7" s="18"/>
      <c r="H7" s="18"/>
      <c r="I7" s="19"/>
      <c r="J7" s="18"/>
      <c r="K7" s="19"/>
      <c r="L7" s="12"/>
      <c r="M7" s="12"/>
      <c r="N7" s="15"/>
      <c r="O7" s="158"/>
    </row>
    <row r="8" spans="1:15" ht="15" customHeight="1" x14ac:dyDescent="0.25">
      <c r="A8" s="16"/>
      <c r="B8" s="87" t="s">
        <v>1</v>
      </c>
      <c r="C8" s="21" t="str">
        <f>'Data Entry'!C7</f>
        <v>UREA</v>
      </c>
      <c r="D8" s="18"/>
      <c r="E8" s="22"/>
      <c r="F8" s="23"/>
      <c r="G8" s="231" t="s">
        <v>100</v>
      </c>
      <c r="H8" s="23"/>
      <c r="I8" s="274" t="s">
        <v>22</v>
      </c>
      <c r="J8" s="275"/>
      <c r="K8" s="275"/>
      <c r="L8" s="275"/>
      <c r="M8" s="275"/>
      <c r="N8" s="24"/>
    </row>
    <row r="9" spans="1:15" ht="15" x14ac:dyDescent="0.2">
      <c r="A9" s="16"/>
      <c r="B9" s="20" t="s">
        <v>3</v>
      </c>
      <c r="C9" s="59">
        <f>'Data Entry'!C8</f>
        <v>700</v>
      </c>
      <c r="D9" s="18"/>
      <c r="E9" s="17"/>
      <c r="F9" s="18"/>
      <c r="G9" s="232"/>
      <c r="H9" s="18"/>
      <c r="I9" s="19"/>
      <c r="J9" s="18"/>
      <c r="K9" s="19"/>
      <c r="L9" s="12"/>
      <c r="M9" s="12"/>
      <c r="N9" s="15"/>
    </row>
    <row r="10" spans="1:15" ht="15" x14ac:dyDescent="0.25">
      <c r="A10" s="16"/>
      <c r="B10" s="20" t="s">
        <v>4</v>
      </c>
      <c r="C10" s="25">
        <f>'Data Entry'!C9</f>
        <v>46</v>
      </c>
      <c r="D10" s="18"/>
      <c r="E10" s="17"/>
      <c r="F10" s="18"/>
      <c r="G10" s="232"/>
      <c r="H10" s="26">
        <f>K10-C14*3</f>
        <v>1</v>
      </c>
      <c r="I10" s="26">
        <f>K10-C14*2</f>
        <v>1.5</v>
      </c>
      <c r="J10" s="26">
        <f>K10-C14</f>
        <v>2</v>
      </c>
      <c r="K10" s="27">
        <f>'Data Entry'!F15</f>
        <v>2.5</v>
      </c>
      <c r="L10" s="26">
        <f>K10+C14</f>
        <v>3</v>
      </c>
      <c r="M10" s="26">
        <f>K10+C14*2</f>
        <v>3.5</v>
      </c>
      <c r="N10" s="28">
        <f>K10+C14*3</f>
        <v>4</v>
      </c>
    </row>
    <row r="11" spans="1:15" ht="15" x14ac:dyDescent="0.25">
      <c r="A11" s="16"/>
      <c r="B11" s="20" t="s">
        <v>5</v>
      </c>
      <c r="C11" s="61">
        <f>(C9/((C10/100)*2200))</f>
        <v>0.69169960474308301</v>
      </c>
      <c r="D11" s="18"/>
      <c r="E11" s="17"/>
      <c r="F11" s="18"/>
      <c r="G11" s="29" t="s">
        <v>6</v>
      </c>
      <c r="H11" s="18"/>
      <c r="I11" s="18"/>
      <c r="J11" s="18"/>
      <c r="K11" s="12"/>
      <c r="L11" s="12"/>
      <c r="M11" s="12"/>
      <c r="N11" s="15"/>
    </row>
    <row r="12" spans="1:15" ht="15" x14ac:dyDescent="0.25">
      <c r="A12" s="16"/>
      <c r="B12" s="30" t="s">
        <v>20</v>
      </c>
      <c r="C12" s="31">
        <f>'Data Entry'!C11</f>
        <v>10</v>
      </c>
      <c r="D12" s="18"/>
      <c r="E12" s="32"/>
      <c r="F12" s="29" t="s">
        <v>67</v>
      </c>
      <c r="G12" s="29" t="s">
        <v>7</v>
      </c>
      <c r="H12" s="269" t="s">
        <v>8</v>
      </c>
      <c r="I12" s="269"/>
      <c r="J12" s="269"/>
      <c r="K12" s="269"/>
      <c r="L12" s="269"/>
      <c r="M12" s="269"/>
      <c r="N12" s="270"/>
    </row>
    <row r="13" spans="1:15" ht="15.75" thickBot="1" x14ac:dyDescent="0.3">
      <c r="A13" s="16"/>
      <c r="B13" s="33" t="s">
        <v>106</v>
      </c>
      <c r="C13" s="34"/>
      <c r="D13" s="18"/>
      <c r="E13" s="35" t="s">
        <v>9</v>
      </c>
      <c r="F13" s="36" t="s">
        <v>68</v>
      </c>
      <c r="G13" s="36" t="s">
        <v>10</v>
      </c>
      <c r="H13" s="247" t="s">
        <v>23</v>
      </c>
      <c r="I13" s="247"/>
      <c r="J13" s="247"/>
      <c r="K13" s="247"/>
      <c r="L13" s="247"/>
      <c r="M13" s="247"/>
      <c r="N13" s="248"/>
    </row>
    <row r="14" spans="1:15" ht="15" x14ac:dyDescent="0.25">
      <c r="A14" s="16"/>
      <c r="B14" s="37" t="s">
        <v>108</v>
      </c>
      <c r="C14" s="38">
        <f>'Data Entry'!C13</f>
        <v>0.5</v>
      </c>
      <c r="D14" s="18"/>
      <c r="E14" s="39" t="s">
        <v>11</v>
      </c>
      <c r="F14" s="40" t="s">
        <v>12</v>
      </c>
      <c r="G14" s="40" t="s">
        <v>12</v>
      </c>
      <c r="H14" s="41">
        <f t="shared" ref="H14:N14" si="0">H10/$C$11</f>
        <v>1.4457142857142857</v>
      </c>
      <c r="I14" s="41">
        <f t="shared" si="0"/>
        <v>2.1685714285714286</v>
      </c>
      <c r="J14" s="41">
        <f t="shared" si="0"/>
        <v>2.8914285714285715</v>
      </c>
      <c r="K14" s="41">
        <f t="shared" si="0"/>
        <v>3.6142857142857143</v>
      </c>
      <c r="L14" s="41">
        <f t="shared" si="0"/>
        <v>4.3371428571428572</v>
      </c>
      <c r="M14" s="41">
        <f t="shared" si="0"/>
        <v>5.0599999999999996</v>
      </c>
      <c r="N14" s="42">
        <f t="shared" si="0"/>
        <v>5.7828571428571429</v>
      </c>
    </row>
    <row r="15" spans="1:15" ht="15" x14ac:dyDescent="0.25">
      <c r="A15" s="16"/>
      <c r="B15" s="43" t="s">
        <v>28</v>
      </c>
      <c r="C15" s="34"/>
      <c r="D15" s="18"/>
      <c r="E15" s="44">
        <f>IF((E19-4*$C$12)&lt;0,0,(E19-4*$C$12))</f>
        <v>10</v>
      </c>
      <c r="F15" s="126">
        <f>G15+(-0.0082*($C$16)^2 + 1.5595*($C$16))+31.73</f>
        <v>80.990000000000009</v>
      </c>
      <c r="G15" s="126">
        <f>IF(((-0.0082*(E15+$C$16)^2 + 1.5595*(E15+$C$16))-(-0.0082*($C$16)^2 + 1.5595*($C$16)))&lt;0,0,(-0.0082*(E15+$C$16)^2 +1.5595*(E15+$C$16))-(-0.0082*($C$16)^2 +1.5595*($C$16)))</f>
        <v>9.855000000000004</v>
      </c>
      <c r="H15" s="135">
        <f t="shared" ref="H15:N23" si="1">(H$10*$G15)-($C$11*($E15))</f>
        <v>2.9380039525691739</v>
      </c>
      <c r="I15" s="135">
        <f t="shared" si="1"/>
        <v>7.8655039525691759</v>
      </c>
      <c r="J15" s="135">
        <f t="shared" si="1"/>
        <v>12.793003952569178</v>
      </c>
      <c r="K15" s="135">
        <f t="shared" si="1"/>
        <v>17.720503952569182</v>
      </c>
      <c r="L15" s="135">
        <f t="shared" si="1"/>
        <v>22.648003952569184</v>
      </c>
      <c r="M15" s="135">
        <f t="shared" si="1"/>
        <v>27.575503952569186</v>
      </c>
      <c r="N15" s="136">
        <f t="shared" si="1"/>
        <v>32.503003952569188</v>
      </c>
    </row>
    <row r="16" spans="1:15" ht="15" x14ac:dyDescent="0.25">
      <c r="A16" s="16"/>
      <c r="B16" s="37" t="s">
        <v>29</v>
      </c>
      <c r="C16" s="45">
        <f>'Data Entry'!C15</f>
        <v>30</v>
      </c>
      <c r="D16" s="18"/>
      <c r="E16" s="44">
        <f>IF((E20-4*$C$12)&lt;0,0,(E20-4*$C$12))</f>
        <v>20</v>
      </c>
      <c r="F16" s="126">
        <f t="shared" ref="F16:F23" si="2">G16+(-0.0082*($C$16)^2 + 1.5595*($C$16))+31.73</f>
        <v>89.205000000000013</v>
      </c>
      <c r="G16" s="126">
        <f t="shared" ref="G16:G23" si="3">IF(((-0.0082*(E16+$C$16)^2 + 1.5595*(E16+$C$16))-(-0.0082*($C$16)^2 + 1.5595*($C$16)))&lt;0,0,(-0.0082*(E16+$C$16)^2 +1.5595*(E16+$C$16))-(-0.0082*($C$16)^2 +1.5595*($C$16)))</f>
        <v>18.070000000000007</v>
      </c>
      <c r="H16" s="135">
        <f t="shared" si="1"/>
        <v>4.2360079051383472</v>
      </c>
      <c r="I16" s="135">
        <f t="shared" si="1"/>
        <v>13.271007905138351</v>
      </c>
      <c r="J16" s="135">
        <f t="shared" si="1"/>
        <v>22.306007905138355</v>
      </c>
      <c r="K16" s="135">
        <f t="shared" si="1"/>
        <v>31.341007905138358</v>
      </c>
      <c r="L16" s="135">
        <f t="shared" si="1"/>
        <v>40.376007905138366</v>
      </c>
      <c r="M16" s="135">
        <f t="shared" si="1"/>
        <v>49.411007905138362</v>
      </c>
      <c r="N16" s="136">
        <f t="shared" si="1"/>
        <v>58.446007905138373</v>
      </c>
    </row>
    <row r="17" spans="1:19" ht="15" x14ac:dyDescent="0.25">
      <c r="A17" s="16"/>
      <c r="B17" s="43" t="s">
        <v>30</v>
      </c>
      <c r="C17" s="46"/>
      <c r="D17" s="18"/>
      <c r="E17" s="44">
        <f>IF((E21-4*$C$12)&lt;0,0,(E21-4*$C$12))</f>
        <v>30</v>
      </c>
      <c r="F17" s="126">
        <f t="shared" si="2"/>
        <v>95.780000000000015</v>
      </c>
      <c r="G17" s="126">
        <f t="shared" si="3"/>
        <v>24.64500000000001</v>
      </c>
      <c r="H17" s="135">
        <f t="shared" si="1"/>
        <v>3.8940118577075182</v>
      </c>
      <c r="I17" s="135">
        <f t="shared" si="1"/>
        <v>16.216511857707523</v>
      </c>
      <c r="J17" s="135">
        <f t="shared" si="1"/>
        <v>28.539011857707528</v>
      </c>
      <c r="K17" s="135">
        <f t="shared" si="1"/>
        <v>40.861511857707534</v>
      </c>
      <c r="L17" s="135">
        <f t="shared" si="1"/>
        <v>53.184011857707539</v>
      </c>
      <c r="M17" s="135">
        <f t="shared" si="1"/>
        <v>65.506511857707551</v>
      </c>
      <c r="N17" s="136">
        <f t="shared" si="1"/>
        <v>77.829011857707542</v>
      </c>
    </row>
    <row r="18" spans="1:19" ht="15.75" thickBot="1" x14ac:dyDescent="0.3">
      <c r="A18" s="16"/>
      <c r="B18" s="17"/>
      <c r="C18" s="18"/>
      <c r="D18" s="18"/>
      <c r="E18" s="44">
        <f>IF((E22-4*$C$12)&lt;0,0,(E22-4*$C$12))</f>
        <v>40</v>
      </c>
      <c r="F18" s="126">
        <f t="shared" si="2"/>
        <v>100.715</v>
      </c>
      <c r="G18" s="126">
        <f t="shared" si="3"/>
        <v>29.58</v>
      </c>
      <c r="H18" s="135">
        <f t="shared" si="1"/>
        <v>1.912015810276678</v>
      </c>
      <c r="I18" s="135">
        <f t="shared" si="1"/>
        <v>16.702015810276677</v>
      </c>
      <c r="J18" s="135">
        <f t="shared" si="1"/>
        <v>31.492015810276676</v>
      </c>
      <c r="K18" s="135">
        <f t="shared" si="1"/>
        <v>46.282015810276668</v>
      </c>
      <c r="L18" s="135">
        <f t="shared" si="1"/>
        <v>61.072015810276675</v>
      </c>
      <c r="M18" s="135">
        <f t="shared" si="1"/>
        <v>75.862015810276688</v>
      </c>
      <c r="N18" s="136">
        <f t="shared" si="1"/>
        <v>90.65201581027668</v>
      </c>
    </row>
    <row r="19" spans="1:19" ht="15.75" thickBot="1" x14ac:dyDescent="0.3">
      <c r="A19" s="16"/>
      <c r="B19" s="54"/>
      <c r="C19" s="48"/>
      <c r="D19" s="49" t="s">
        <v>13</v>
      </c>
      <c r="E19" s="50">
        <f>'Data Entry'!G10</f>
        <v>50</v>
      </c>
      <c r="F19" s="126">
        <f t="shared" si="2"/>
        <v>104.01</v>
      </c>
      <c r="G19" s="126">
        <f t="shared" si="3"/>
        <v>32.875</v>
      </c>
      <c r="H19" s="135">
        <f t="shared" si="1"/>
        <v>-1.7099802371541486</v>
      </c>
      <c r="I19" s="135">
        <f t="shared" si="1"/>
        <v>14.727519762845851</v>
      </c>
      <c r="J19" s="135">
        <f t="shared" si="1"/>
        <v>31.165019762845851</v>
      </c>
      <c r="K19" s="135">
        <f t="shared" si="1"/>
        <v>47.602519762845851</v>
      </c>
      <c r="L19" s="135">
        <f t="shared" si="1"/>
        <v>64.040019762845844</v>
      </c>
      <c r="M19" s="135">
        <f t="shared" si="1"/>
        <v>80.477519762845844</v>
      </c>
      <c r="N19" s="136">
        <f t="shared" si="1"/>
        <v>96.915019762845844</v>
      </c>
    </row>
    <row r="20" spans="1:19" ht="15" x14ac:dyDescent="0.25">
      <c r="A20" s="16"/>
      <c r="B20" s="17"/>
      <c r="C20" s="18"/>
      <c r="D20" s="18"/>
      <c r="E20" s="51">
        <f>E19+C12</f>
        <v>60</v>
      </c>
      <c r="F20" s="126">
        <f t="shared" si="2"/>
        <v>105.66500000000002</v>
      </c>
      <c r="G20" s="126">
        <f t="shared" si="3"/>
        <v>34.530000000000015</v>
      </c>
      <c r="H20" s="135">
        <f t="shared" si="1"/>
        <v>-6.9719762845849687</v>
      </c>
      <c r="I20" s="135">
        <f t="shared" si="1"/>
        <v>10.293023715415039</v>
      </c>
      <c r="J20" s="135">
        <f t="shared" si="1"/>
        <v>27.558023715415047</v>
      </c>
      <c r="K20" s="135">
        <f t="shared" si="1"/>
        <v>44.823023715415061</v>
      </c>
      <c r="L20" s="135">
        <f t="shared" si="1"/>
        <v>62.088023715415062</v>
      </c>
      <c r="M20" s="135">
        <f t="shared" si="1"/>
        <v>79.353023715415063</v>
      </c>
      <c r="N20" s="136">
        <f t="shared" si="1"/>
        <v>96.618023715415077</v>
      </c>
    </row>
    <row r="21" spans="1:19" ht="15" x14ac:dyDescent="0.25">
      <c r="A21" s="16"/>
      <c r="B21" s="17"/>
      <c r="C21" s="18"/>
      <c r="D21" s="18"/>
      <c r="E21" s="51">
        <f>E19+2*C12</f>
        <v>70</v>
      </c>
      <c r="F21" s="126">
        <f t="shared" si="2"/>
        <v>105.68000000000002</v>
      </c>
      <c r="G21" s="126">
        <f t="shared" si="3"/>
        <v>34.545000000000016</v>
      </c>
      <c r="H21" s="135">
        <f t="shared" si="1"/>
        <v>-13.873972332015796</v>
      </c>
      <c r="I21" s="135">
        <f t="shared" si="1"/>
        <v>3.3985276679842116</v>
      </c>
      <c r="J21" s="135">
        <f t="shared" si="1"/>
        <v>20.67102766798422</v>
      </c>
      <c r="K21" s="135">
        <f t="shared" si="1"/>
        <v>37.943527667984227</v>
      </c>
      <c r="L21" s="135">
        <f t="shared" si="1"/>
        <v>55.216027667984235</v>
      </c>
      <c r="M21" s="135">
        <f t="shared" si="1"/>
        <v>72.488527667984243</v>
      </c>
      <c r="N21" s="136">
        <f t="shared" si="1"/>
        <v>89.761027667984251</v>
      </c>
    </row>
    <row r="22" spans="1:19" ht="15" x14ac:dyDescent="0.25">
      <c r="A22" s="16"/>
      <c r="B22" s="17"/>
      <c r="C22" s="18"/>
      <c r="D22" s="18"/>
      <c r="E22" s="51">
        <f>E19+3*C12</f>
        <v>80</v>
      </c>
      <c r="F22" s="126">
        <f t="shared" si="2"/>
        <v>104.05500000000001</v>
      </c>
      <c r="G22" s="126">
        <f t="shared" si="3"/>
        <v>32.92</v>
      </c>
      <c r="H22" s="135">
        <f t="shared" si="1"/>
        <v>-22.415968379446639</v>
      </c>
      <c r="I22" s="135">
        <f t="shared" si="1"/>
        <v>-5.955968379446638</v>
      </c>
      <c r="J22" s="135">
        <f t="shared" si="1"/>
        <v>10.504031620553363</v>
      </c>
      <c r="K22" s="135">
        <f t="shared" si="1"/>
        <v>26.964031620553371</v>
      </c>
      <c r="L22" s="135">
        <f t="shared" si="1"/>
        <v>43.424031620553365</v>
      </c>
      <c r="M22" s="135">
        <f t="shared" si="1"/>
        <v>59.884031620553358</v>
      </c>
      <c r="N22" s="136">
        <f t="shared" si="1"/>
        <v>76.344031620553366</v>
      </c>
    </row>
    <row r="23" spans="1:19" ht="15" x14ac:dyDescent="0.25">
      <c r="A23" s="16"/>
      <c r="B23" s="17"/>
      <c r="C23" s="18"/>
      <c r="D23" s="18"/>
      <c r="E23" s="51">
        <f>E19+4*C12</f>
        <v>90</v>
      </c>
      <c r="F23" s="126">
        <f t="shared" si="2"/>
        <v>100.79</v>
      </c>
      <c r="G23" s="126">
        <f t="shared" si="3"/>
        <v>29.655000000000001</v>
      </c>
      <c r="H23" s="135">
        <f t="shared" si="1"/>
        <v>-32.597964426877468</v>
      </c>
      <c r="I23" s="135">
        <f t="shared" si="1"/>
        <v>-17.770464426877467</v>
      </c>
      <c r="J23" s="135">
        <f t="shared" si="1"/>
        <v>-2.9429644268774666</v>
      </c>
      <c r="K23" s="135">
        <f t="shared" si="1"/>
        <v>11.884535573122534</v>
      </c>
      <c r="L23" s="135">
        <f t="shared" si="1"/>
        <v>26.712035573122535</v>
      </c>
      <c r="M23" s="135">
        <f t="shared" si="1"/>
        <v>41.539535573122535</v>
      </c>
      <c r="N23" s="136">
        <f t="shared" si="1"/>
        <v>56.367035573122536</v>
      </c>
    </row>
    <row r="24" spans="1:19" ht="13.5" customHeight="1" x14ac:dyDescent="0.2">
      <c r="A24" s="16"/>
      <c r="B24" s="17"/>
      <c r="C24" s="18"/>
      <c r="D24" s="18"/>
      <c r="E24" s="271" t="s">
        <v>54</v>
      </c>
      <c r="F24" s="272"/>
      <c r="G24" s="272"/>
      <c r="H24" s="272"/>
      <c r="I24" s="272"/>
      <c r="J24" s="272"/>
      <c r="K24" s="272"/>
      <c r="L24" s="272"/>
      <c r="M24" s="272"/>
      <c r="N24" s="273"/>
    </row>
    <row r="25" spans="1:19" ht="9.75" customHeight="1" x14ac:dyDescent="0.2">
      <c r="A25" s="16"/>
      <c r="B25" s="17"/>
      <c r="C25" s="18"/>
      <c r="D25" s="18"/>
      <c r="E25" s="266" t="s">
        <v>16</v>
      </c>
      <c r="F25" s="267"/>
      <c r="G25" s="267"/>
      <c r="H25" s="267"/>
      <c r="I25" s="267"/>
      <c r="J25" s="267"/>
      <c r="K25" s="267"/>
      <c r="L25" s="267"/>
      <c r="M25" s="267"/>
      <c r="N25" s="268"/>
    </row>
    <row r="26" spans="1:19" ht="9.75" customHeight="1" x14ac:dyDescent="0.2">
      <c r="A26" s="16"/>
      <c r="B26" s="17"/>
      <c r="C26" s="18"/>
      <c r="D26" s="18"/>
      <c r="E26" s="266" t="s">
        <v>24</v>
      </c>
      <c r="F26" s="267"/>
      <c r="G26" s="267"/>
      <c r="H26" s="267"/>
      <c r="I26" s="267"/>
      <c r="J26" s="267"/>
      <c r="K26" s="267"/>
      <c r="L26" s="267"/>
      <c r="M26" s="267"/>
      <c r="N26" s="268"/>
    </row>
    <row r="27" spans="1:19" ht="11.25" customHeight="1" x14ac:dyDescent="0.2">
      <c r="A27" s="16"/>
      <c r="B27" s="17"/>
      <c r="C27" s="18"/>
      <c r="D27" s="18"/>
      <c r="E27" s="262" t="s">
        <v>87</v>
      </c>
      <c r="F27" s="263"/>
      <c r="G27" s="263"/>
      <c r="H27" s="263"/>
      <c r="I27" s="263"/>
      <c r="J27" s="263"/>
      <c r="K27" s="264"/>
      <c r="L27" s="264"/>
      <c r="M27" s="264"/>
      <c r="N27" s="265"/>
      <c r="O27"/>
      <c r="P27"/>
      <c r="Q27"/>
      <c r="R27"/>
      <c r="S27"/>
    </row>
    <row r="28" spans="1:19" ht="12" customHeight="1" thickBot="1" x14ac:dyDescent="0.25">
      <c r="A28" s="16"/>
      <c r="B28" s="17"/>
      <c r="C28" s="18"/>
      <c r="D28" s="18"/>
      <c r="E28" s="277" t="s">
        <v>38</v>
      </c>
      <c r="F28" s="278"/>
      <c r="G28" s="279"/>
      <c r="H28" s="279"/>
      <c r="I28" s="279"/>
      <c r="J28" s="279"/>
      <c r="K28" s="280"/>
      <c r="L28" s="280"/>
      <c r="M28" s="280"/>
      <c r="N28" s="281"/>
    </row>
    <row r="29" spans="1:19" ht="11.25" customHeight="1" x14ac:dyDescent="0.2">
      <c r="A29" s="16"/>
      <c r="B29" s="17"/>
      <c r="C29" s="18"/>
      <c r="D29" s="18"/>
      <c r="E29" s="53"/>
      <c r="F29" s="53"/>
      <c r="G29" s="53"/>
      <c r="H29" s="53"/>
      <c r="I29" s="53"/>
      <c r="J29" s="53"/>
      <c r="K29" s="12"/>
      <c r="L29" s="12"/>
      <c r="M29" s="12"/>
      <c r="N29" s="15"/>
    </row>
    <row r="30" spans="1:19" ht="11.25" customHeight="1" thickBot="1" x14ac:dyDescent="0.25">
      <c r="B30" s="252"/>
      <c r="C30" s="253"/>
      <c r="D30" s="253"/>
      <c r="E30" s="253"/>
      <c r="F30" s="253"/>
      <c r="G30" s="253"/>
      <c r="H30" s="253"/>
      <c r="I30" s="253"/>
      <c r="J30" s="253"/>
      <c r="K30" s="55"/>
      <c r="L30" s="55"/>
      <c r="M30" s="55"/>
      <c r="N30" s="56"/>
    </row>
    <row r="31" spans="1:19" ht="5.25" customHeight="1" thickBot="1" x14ac:dyDescent="0.25">
      <c r="N31" s="24"/>
    </row>
    <row r="32" spans="1:19" ht="15.75" customHeight="1" thickBot="1" x14ac:dyDescent="0.3">
      <c r="A32" s="16"/>
      <c r="B32" s="240" t="s">
        <v>39</v>
      </c>
      <c r="C32" s="241"/>
      <c r="E32" s="18"/>
      <c r="F32" s="18"/>
      <c r="G32" s="18"/>
      <c r="H32" s="18"/>
      <c r="I32" s="19"/>
      <c r="J32" s="18"/>
      <c r="K32" s="19"/>
      <c r="L32" s="12"/>
      <c r="M32" s="12"/>
      <c r="N32" s="15"/>
      <c r="O32" s="155"/>
    </row>
    <row r="33" spans="1:19" ht="15" customHeight="1" x14ac:dyDescent="0.25">
      <c r="A33" s="16"/>
      <c r="B33" s="87" t="s">
        <v>1</v>
      </c>
      <c r="C33" s="21" t="str">
        <f>'Data Entry'!C7</f>
        <v>UREA</v>
      </c>
      <c r="D33" s="18"/>
      <c r="F33" s="22"/>
      <c r="G33" s="231" t="s">
        <v>102</v>
      </c>
      <c r="H33" s="23"/>
      <c r="I33" s="274" t="s">
        <v>22</v>
      </c>
      <c r="J33" s="275"/>
      <c r="K33" s="275"/>
      <c r="L33" s="275"/>
      <c r="M33" s="275"/>
      <c r="N33" s="24"/>
      <c r="O33" s="155"/>
    </row>
    <row r="34" spans="1:19" ht="15" x14ac:dyDescent="0.2">
      <c r="A34" s="16"/>
      <c r="B34" s="20" t="s">
        <v>3</v>
      </c>
      <c r="C34" s="179">
        <f>'Data Entry'!C8</f>
        <v>700</v>
      </c>
      <c r="D34" s="18"/>
      <c r="F34" s="17"/>
      <c r="G34" s="232"/>
      <c r="H34" s="18"/>
      <c r="I34" s="19"/>
      <c r="J34" s="18"/>
      <c r="K34" s="19"/>
      <c r="L34" s="12"/>
      <c r="M34" s="12"/>
      <c r="N34" s="15"/>
      <c r="O34" s="155"/>
    </row>
    <row r="35" spans="1:19" ht="15" x14ac:dyDescent="0.25">
      <c r="A35" s="16"/>
      <c r="B35" s="20" t="s">
        <v>4</v>
      </c>
      <c r="C35" s="25">
        <f>'Data Entry'!C9</f>
        <v>46</v>
      </c>
      <c r="D35" s="18"/>
      <c r="F35" s="17"/>
      <c r="G35" s="232"/>
      <c r="H35" s="26">
        <f>K35-C39*3</f>
        <v>1</v>
      </c>
      <c r="I35" s="26">
        <f>K35-C39*2</f>
        <v>1.5</v>
      </c>
      <c r="J35" s="26">
        <f>K35-C39</f>
        <v>2</v>
      </c>
      <c r="K35" s="27">
        <f>'Data Entry'!F15</f>
        <v>2.5</v>
      </c>
      <c r="L35" s="26">
        <f>K35+C39</f>
        <v>3</v>
      </c>
      <c r="M35" s="26">
        <f>K35+C39*2</f>
        <v>3.5</v>
      </c>
      <c r="N35" s="28">
        <f>K35+C39*3</f>
        <v>4</v>
      </c>
      <c r="O35" s="155"/>
    </row>
    <row r="36" spans="1:19" ht="15" x14ac:dyDescent="0.25">
      <c r="A36" s="16"/>
      <c r="B36" s="20" t="s">
        <v>5</v>
      </c>
      <c r="C36" s="61">
        <f>(C34/((C35/100)*2200))</f>
        <v>0.69169960474308301</v>
      </c>
      <c r="D36" s="18"/>
      <c r="F36" s="17"/>
      <c r="G36" s="29" t="s">
        <v>6</v>
      </c>
      <c r="H36" s="18"/>
      <c r="I36" s="18"/>
      <c r="J36" s="18"/>
      <c r="K36" s="12"/>
      <c r="L36" s="12"/>
      <c r="M36" s="12"/>
      <c r="N36" s="15"/>
      <c r="O36" s="155"/>
    </row>
    <row r="37" spans="1:19" ht="15" x14ac:dyDescent="0.25">
      <c r="A37" s="16"/>
      <c r="B37" s="30" t="s">
        <v>20</v>
      </c>
      <c r="C37" s="31">
        <f>'Data Entry'!C11</f>
        <v>10</v>
      </c>
      <c r="D37" s="18"/>
      <c r="F37" s="32"/>
      <c r="G37" s="70" t="s">
        <v>67</v>
      </c>
      <c r="H37" s="229" t="s">
        <v>112</v>
      </c>
      <c r="I37" s="229"/>
      <c r="J37" s="229"/>
      <c r="K37" s="229"/>
      <c r="L37" s="229"/>
      <c r="M37" s="229"/>
      <c r="N37" s="230"/>
      <c r="O37" s="153"/>
      <c r="P37"/>
      <c r="Q37"/>
      <c r="R37"/>
      <c r="S37"/>
    </row>
    <row r="38" spans="1:19" ht="15.75" thickBot="1" x14ac:dyDescent="0.3">
      <c r="A38" s="16"/>
      <c r="B38" s="33" t="s">
        <v>106</v>
      </c>
      <c r="C38" s="34"/>
      <c r="D38" s="18"/>
      <c r="F38" s="35" t="s">
        <v>9</v>
      </c>
      <c r="G38" s="73" t="s">
        <v>68</v>
      </c>
      <c r="H38" s="247" t="s">
        <v>23</v>
      </c>
      <c r="I38" s="247"/>
      <c r="J38" s="247"/>
      <c r="K38" s="247"/>
      <c r="L38" s="247"/>
      <c r="M38" s="247"/>
      <c r="N38" s="248"/>
      <c r="O38" s="153"/>
      <c r="P38"/>
      <c r="Q38"/>
      <c r="R38"/>
      <c r="S38"/>
    </row>
    <row r="39" spans="1:19" ht="15" x14ac:dyDescent="0.25">
      <c r="A39" s="16"/>
      <c r="B39" s="37" t="s">
        <v>108</v>
      </c>
      <c r="C39" s="57">
        <f>'Data Entry'!C13</f>
        <v>0.5</v>
      </c>
      <c r="D39" s="18"/>
      <c r="F39" s="39" t="s">
        <v>11</v>
      </c>
      <c r="G39" s="75" t="s">
        <v>12</v>
      </c>
      <c r="H39" s="41">
        <f t="shared" ref="H39:N39" si="4">H35/$C$11</f>
        <v>1.4457142857142857</v>
      </c>
      <c r="I39" s="41">
        <f t="shared" si="4"/>
        <v>2.1685714285714286</v>
      </c>
      <c r="J39" s="41">
        <f t="shared" si="4"/>
        <v>2.8914285714285715</v>
      </c>
      <c r="K39" s="41">
        <f t="shared" si="4"/>
        <v>3.6142857142857143</v>
      </c>
      <c r="L39" s="41">
        <f t="shared" si="4"/>
        <v>4.3371428571428572</v>
      </c>
      <c r="M39" s="41">
        <f t="shared" si="4"/>
        <v>5.0599999999999996</v>
      </c>
      <c r="N39" s="42">
        <f t="shared" si="4"/>
        <v>5.7828571428571429</v>
      </c>
      <c r="O39" s="153"/>
      <c r="P39"/>
      <c r="Q39"/>
      <c r="R39"/>
      <c r="S39"/>
    </row>
    <row r="40" spans="1:19" ht="15" x14ac:dyDescent="0.25">
      <c r="A40" s="16"/>
      <c r="B40" s="43" t="s">
        <v>28</v>
      </c>
      <c r="C40" s="34"/>
      <c r="D40" s="18"/>
      <c r="F40" s="44">
        <f>IF((F44-4*$C$12)&lt;0,0,(F44-4*$C$12))</f>
        <v>10</v>
      </c>
      <c r="G40" s="126">
        <f>G15+(-0.0082*($C$16)^2 + 1.5595*($C$16))+31.73</f>
        <v>80.990000000000009</v>
      </c>
      <c r="H40" s="135">
        <f t="shared" ref="H40:N48" si="5">(H$10*$G40)-($C$11*($F40))</f>
        <v>74.073003952569181</v>
      </c>
      <c r="I40" s="135">
        <f t="shared" si="5"/>
        <v>114.56800395256919</v>
      </c>
      <c r="J40" s="135">
        <f t="shared" si="5"/>
        <v>155.06300395256918</v>
      </c>
      <c r="K40" s="135">
        <f t="shared" si="5"/>
        <v>195.55800395256918</v>
      </c>
      <c r="L40" s="135">
        <f t="shared" si="5"/>
        <v>236.05300395256918</v>
      </c>
      <c r="M40" s="135">
        <f t="shared" si="5"/>
        <v>276.54800395256922</v>
      </c>
      <c r="N40" s="136">
        <f t="shared" si="5"/>
        <v>317.04300395256922</v>
      </c>
      <c r="O40" s="153"/>
      <c r="P40"/>
      <c r="Q40"/>
      <c r="R40"/>
      <c r="S40"/>
    </row>
    <row r="41" spans="1:19" ht="15" x14ac:dyDescent="0.25">
      <c r="A41" s="16"/>
      <c r="B41" s="37" t="s">
        <v>29</v>
      </c>
      <c r="C41" s="45">
        <f>'Data Entry'!C15</f>
        <v>30</v>
      </c>
      <c r="D41" s="18"/>
      <c r="F41" s="44">
        <f>IF((F45-4*$C$12)&lt;0,0,(F45-4*$C$12))</f>
        <v>20</v>
      </c>
      <c r="G41" s="126">
        <f t="shared" ref="G41:G48" si="6">G16+(-0.0082*($C$16)^2 + 1.5595*($C$16))+31.73</f>
        <v>89.205000000000013</v>
      </c>
      <c r="H41" s="135">
        <f t="shared" si="5"/>
        <v>75.371007905138356</v>
      </c>
      <c r="I41" s="135">
        <f t="shared" si="5"/>
        <v>119.97350790513835</v>
      </c>
      <c r="J41" s="135">
        <f t="shared" si="5"/>
        <v>164.57600790513837</v>
      </c>
      <c r="K41" s="135">
        <f t="shared" si="5"/>
        <v>209.17850790513839</v>
      </c>
      <c r="L41" s="135">
        <f t="shared" si="5"/>
        <v>253.78100790513835</v>
      </c>
      <c r="M41" s="135">
        <f t="shared" si="5"/>
        <v>298.38350790513834</v>
      </c>
      <c r="N41" s="136">
        <f t="shared" si="5"/>
        <v>342.98600790513837</v>
      </c>
      <c r="O41" s="153"/>
      <c r="P41"/>
      <c r="Q41"/>
      <c r="R41"/>
      <c r="S41"/>
    </row>
    <row r="42" spans="1:19" ht="15" x14ac:dyDescent="0.25">
      <c r="A42" s="16"/>
      <c r="B42" s="43" t="s">
        <v>30</v>
      </c>
      <c r="C42" s="46"/>
      <c r="D42" s="18"/>
      <c r="F42" s="44">
        <f>IF((F46-4*$C$12)&lt;0,0,(F46-4*$C$12))</f>
        <v>30</v>
      </c>
      <c r="G42" s="126">
        <f t="shared" si="6"/>
        <v>95.780000000000015</v>
      </c>
      <c r="H42" s="135">
        <f t="shared" si="5"/>
        <v>75.02901185770753</v>
      </c>
      <c r="I42" s="135">
        <f t="shared" si="5"/>
        <v>122.91901185770752</v>
      </c>
      <c r="J42" s="135">
        <f t="shared" si="5"/>
        <v>170.80901185770753</v>
      </c>
      <c r="K42" s="135">
        <f t="shared" si="5"/>
        <v>218.69901185770755</v>
      </c>
      <c r="L42" s="135">
        <f t="shared" si="5"/>
        <v>266.58901185770753</v>
      </c>
      <c r="M42" s="135">
        <f t="shared" si="5"/>
        <v>314.47901185770758</v>
      </c>
      <c r="N42" s="136">
        <f t="shared" si="5"/>
        <v>362.36901185770756</v>
      </c>
      <c r="O42" s="153"/>
      <c r="P42"/>
      <c r="Q42"/>
      <c r="R42"/>
      <c r="S42"/>
    </row>
    <row r="43" spans="1:19" ht="15.75" thickBot="1" x14ac:dyDescent="0.3">
      <c r="A43" s="16"/>
      <c r="B43" s="17"/>
      <c r="C43" s="18"/>
      <c r="D43" s="18"/>
      <c r="F43" s="44">
        <f>IF((F47-4*$C$12)&lt;0,0,(F47-4*$C$12))</f>
        <v>40</v>
      </c>
      <c r="G43" s="126">
        <f t="shared" si="6"/>
        <v>100.715</v>
      </c>
      <c r="H43" s="135">
        <f t="shared" si="5"/>
        <v>73.04701581027669</v>
      </c>
      <c r="I43" s="135">
        <f t="shared" si="5"/>
        <v>123.40451581027668</v>
      </c>
      <c r="J43" s="135">
        <f t="shared" si="5"/>
        <v>173.76201581027669</v>
      </c>
      <c r="K43" s="135">
        <f t="shared" si="5"/>
        <v>224.11951581027671</v>
      </c>
      <c r="L43" s="135">
        <f t="shared" si="5"/>
        <v>274.47701581027667</v>
      </c>
      <c r="M43" s="135">
        <f t="shared" si="5"/>
        <v>324.83451581027668</v>
      </c>
      <c r="N43" s="136">
        <f t="shared" si="5"/>
        <v>375.1920158102767</v>
      </c>
      <c r="O43" s="153"/>
      <c r="P43"/>
      <c r="Q43"/>
      <c r="R43"/>
      <c r="S43"/>
    </row>
    <row r="44" spans="1:19" ht="15.75" thickBot="1" x14ac:dyDescent="0.3">
      <c r="A44" s="16"/>
      <c r="B44" s="47"/>
      <c r="C44" s="48"/>
      <c r="E44" s="49" t="s">
        <v>13</v>
      </c>
      <c r="F44" s="50">
        <f>E19</f>
        <v>50</v>
      </c>
      <c r="G44" s="126">
        <f t="shared" si="6"/>
        <v>104.01</v>
      </c>
      <c r="H44" s="135">
        <f t="shared" si="5"/>
        <v>69.425019762845864</v>
      </c>
      <c r="I44" s="135">
        <f t="shared" si="5"/>
        <v>121.43001976284586</v>
      </c>
      <c r="J44" s="135">
        <f t="shared" si="5"/>
        <v>173.43501976284585</v>
      </c>
      <c r="K44" s="135">
        <f t="shared" si="5"/>
        <v>225.44001976284588</v>
      </c>
      <c r="L44" s="135">
        <f t="shared" si="5"/>
        <v>277.4450197628459</v>
      </c>
      <c r="M44" s="135">
        <f t="shared" si="5"/>
        <v>329.4500197628459</v>
      </c>
      <c r="N44" s="136">
        <f t="shared" si="5"/>
        <v>381.45501976284589</v>
      </c>
      <c r="O44" s="153"/>
      <c r="P44"/>
      <c r="Q44"/>
      <c r="R44"/>
      <c r="S44"/>
    </row>
    <row r="45" spans="1:19" ht="15" x14ac:dyDescent="0.25">
      <c r="A45" s="16"/>
      <c r="B45" s="17"/>
      <c r="C45" s="18"/>
      <c r="D45" s="18"/>
      <c r="F45" s="51">
        <f>F44+C37</f>
        <v>60</v>
      </c>
      <c r="G45" s="126">
        <f t="shared" si="6"/>
        <v>105.66500000000002</v>
      </c>
      <c r="H45" s="135">
        <f t="shared" si="5"/>
        <v>64.163023715415036</v>
      </c>
      <c r="I45" s="135">
        <f t="shared" si="5"/>
        <v>116.99552371541505</v>
      </c>
      <c r="J45" s="135">
        <f t="shared" si="5"/>
        <v>169.82802371541504</v>
      </c>
      <c r="K45" s="135">
        <f t="shared" si="5"/>
        <v>222.66052371541502</v>
      </c>
      <c r="L45" s="135">
        <f t="shared" si="5"/>
        <v>275.49302371541506</v>
      </c>
      <c r="M45" s="135">
        <f t="shared" si="5"/>
        <v>328.3255237154151</v>
      </c>
      <c r="N45" s="136">
        <f t="shared" si="5"/>
        <v>381.15802371541508</v>
      </c>
      <c r="O45" s="153"/>
      <c r="P45"/>
      <c r="Q45"/>
      <c r="R45"/>
      <c r="S45"/>
    </row>
    <row r="46" spans="1:19" ht="15" x14ac:dyDescent="0.25">
      <c r="A46" s="16"/>
      <c r="B46" s="17"/>
      <c r="C46" s="52"/>
      <c r="D46" s="18"/>
      <c r="F46" s="51">
        <f>F44+2*C37</f>
        <v>70</v>
      </c>
      <c r="G46" s="126">
        <f t="shared" si="6"/>
        <v>105.68000000000002</v>
      </c>
      <c r="H46" s="135">
        <f t="shared" si="5"/>
        <v>57.261027667984209</v>
      </c>
      <c r="I46" s="135">
        <f t="shared" si="5"/>
        <v>110.10102766798423</v>
      </c>
      <c r="J46" s="135">
        <f t="shared" si="5"/>
        <v>162.94102766798423</v>
      </c>
      <c r="K46" s="135">
        <f t="shared" si="5"/>
        <v>215.78102766798423</v>
      </c>
      <c r="L46" s="135">
        <f t="shared" si="5"/>
        <v>268.62102766798427</v>
      </c>
      <c r="M46" s="135">
        <f t="shared" si="5"/>
        <v>321.46102766798424</v>
      </c>
      <c r="N46" s="136">
        <f t="shared" si="5"/>
        <v>374.30102766798427</v>
      </c>
      <c r="O46" s="153"/>
      <c r="P46"/>
      <c r="Q46"/>
      <c r="R46"/>
      <c r="S46"/>
    </row>
    <row r="47" spans="1:19" ht="15" x14ac:dyDescent="0.25">
      <c r="A47" s="16"/>
      <c r="B47" s="17"/>
      <c r="C47" s="18"/>
      <c r="D47" s="18"/>
      <c r="F47" s="51">
        <f>F44+3*C37</f>
        <v>80</v>
      </c>
      <c r="G47" s="126">
        <f t="shared" si="6"/>
        <v>104.05500000000001</v>
      </c>
      <c r="H47" s="135">
        <f t="shared" si="5"/>
        <v>48.719031620553366</v>
      </c>
      <c r="I47" s="135">
        <f t="shared" si="5"/>
        <v>100.74653162055337</v>
      </c>
      <c r="J47" s="135">
        <f t="shared" si="5"/>
        <v>152.77403162055339</v>
      </c>
      <c r="K47" s="135">
        <f t="shared" si="5"/>
        <v>204.80153162055342</v>
      </c>
      <c r="L47" s="135">
        <f t="shared" si="5"/>
        <v>256.82903162055339</v>
      </c>
      <c r="M47" s="135">
        <f t="shared" si="5"/>
        <v>308.85653162055337</v>
      </c>
      <c r="N47" s="136">
        <f t="shared" si="5"/>
        <v>360.8840316205534</v>
      </c>
      <c r="O47" s="153"/>
      <c r="P47"/>
      <c r="Q47"/>
      <c r="R47"/>
      <c r="S47"/>
    </row>
    <row r="48" spans="1:19" ht="15" x14ac:dyDescent="0.25">
      <c r="A48" s="16"/>
      <c r="B48" s="17"/>
      <c r="C48" s="18"/>
      <c r="D48" s="18"/>
      <c r="F48" s="51">
        <f>F44+4*C37</f>
        <v>90</v>
      </c>
      <c r="G48" s="126">
        <f t="shared" si="6"/>
        <v>100.79</v>
      </c>
      <c r="H48" s="135">
        <f t="shared" si="5"/>
        <v>38.537035573122537</v>
      </c>
      <c r="I48" s="135">
        <f t="shared" si="5"/>
        <v>88.932035573122533</v>
      </c>
      <c r="J48" s="135">
        <f t="shared" si="5"/>
        <v>139.32703557312254</v>
      </c>
      <c r="K48" s="135">
        <f t="shared" si="5"/>
        <v>189.72203557312255</v>
      </c>
      <c r="L48" s="135">
        <f t="shared" si="5"/>
        <v>240.11703557312254</v>
      </c>
      <c r="M48" s="135">
        <f t="shared" si="5"/>
        <v>290.5120355731226</v>
      </c>
      <c r="N48" s="136">
        <f t="shared" si="5"/>
        <v>340.90703557312258</v>
      </c>
      <c r="O48" s="153"/>
      <c r="P48"/>
      <c r="Q48"/>
      <c r="R48"/>
      <c r="S48"/>
    </row>
    <row r="49" spans="1:19" ht="13.5" customHeight="1" x14ac:dyDescent="0.2">
      <c r="A49" s="16"/>
      <c r="B49" s="17"/>
      <c r="C49" s="18"/>
      <c r="D49" s="18"/>
      <c r="F49" s="180" t="s">
        <v>54</v>
      </c>
      <c r="G49" s="173"/>
      <c r="H49" s="173"/>
      <c r="I49" s="173"/>
      <c r="J49" s="173"/>
      <c r="K49" s="173"/>
      <c r="L49" s="173"/>
      <c r="M49" s="173"/>
      <c r="N49" s="174"/>
      <c r="O49" s="153"/>
      <c r="P49"/>
      <c r="Q49"/>
      <c r="R49"/>
      <c r="S49"/>
    </row>
    <row r="50" spans="1:19" ht="9.75" customHeight="1" x14ac:dyDescent="0.2">
      <c r="A50" s="16"/>
      <c r="B50" s="17"/>
      <c r="C50" s="18"/>
      <c r="D50" s="18"/>
      <c r="F50" s="183" t="s">
        <v>16</v>
      </c>
      <c r="G50" s="175"/>
      <c r="H50" s="175"/>
      <c r="I50" s="175"/>
      <c r="J50" s="175"/>
      <c r="K50" s="175"/>
      <c r="L50" s="175"/>
      <c r="M50" s="175"/>
      <c r="N50" s="176"/>
      <c r="O50" s="153"/>
      <c r="P50"/>
      <c r="Q50"/>
      <c r="R50"/>
      <c r="S50"/>
    </row>
    <row r="51" spans="1:19" ht="9.75" customHeight="1" x14ac:dyDescent="0.2">
      <c r="A51" s="16"/>
      <c r="B51" s="17"/>
      <c r="C51" s="18"/>
      <c r="D51" s="18"/>
      <c r="F51" s="183" t="s">
        <v>101</v>
      </c>
      <c r="G51" s="175"/>
      <c r="H51" s="175"/>
      <c r="I51" s="175"/>
      <c r="J51" s="175"/>
      <c r="K51" s="175"/>
      <c r="L51" s="175"/>
      <c r="M51" s="175"/>
      <c r="N51" s="176"/>
      <c r="O51" s="153"/>
      <c r="P51"/>
      <c r="Q51"/>
      <c r="R51"/>
      <c r="S51"/>
    </row>
    <row r="52" spans="1:19" ht="11.25" customHeight="1" x14ac:dyDescent="0.2">
      <c r="A52" s="16"/>
      <c r="B52" s="17"/>
      <c r="C52" s="18"/>
      <c r="D52" s="18"/>
      <c r="F52" s="79" t="s">
        <v>105</v>
      </c>
      <c r="G52" s="80"/>
      <c r="H52" s="80"/>
      <c r="I52" s="80"/>
      <c r="J52" s="80"/>
      <c r="K52" s="130"/>
      <c r="L52" s="130"/>
      <c r="M52" s="130"/>
      <c r="N52" s="166"/>
      <c r="O52" s="153"/>
      <c r="P52"/>
      <c r="Q52"/>
      <c r="R52"/>
      <c r="S52"/>
    </row>
    <row r="53" spans="1:19" ht="12" customHeight="1" thickBot="1" x14ac:dyDescent="0.25">
      <c r="A53" s="16"/>
      <c r="B53" s="17"/>
      <c r="C53" s="18"/>
      <c r="D53" s="18"/>
      <c r="F53" s="186" t="s">
        <v>38</v>
      </c>
      <c r="G53" s="177"/>
      <c r="H53" s="178"/>
      <c r="I53" s="178"/>
      <c r="J53" s="178"/>
      <c r="K53" s="170"/>
      <c r="L53" s="170"/>
      <c r="M53" s="170"/>
      <c r="N53" s="171"/>
      <c r="O53" s="153"/>
      <c r="P53"/>
      <c r="Q53"/>
      <c r="R53"/>
      <c r="S53"/>
    </row>
    <row r="54" spans="1:19" ht="11.25" customHeight="1" x14ac:dyDescent="0.2">
      <c r="A54" s="16"/>
      <c r="B54" s="17"/>
      <c r="C54" s="18"/>
      <c r="D54" s="18"/>
      <c r="E54" s="53"/>
      <c r="F54" s="53"/>
      <c r="G54" s="53"/>
      <c r="H54" s="53"/>
      <c r="I54" s="53"/>
      <c r="J54" s="53"/>
      <c r="K54" s="12"/>
      <c r="L54" s="12"/>
      <c r="M54" s="12"/>
      <c r="N54" s="15"/>
      <c r="O54" s="153"/>
      <c r="P54"/>
      <c r="Q54"/>
      <c r="R54"/>
      <c r="S54"/>
    </row>
    <row r="55" spans="1:19" ht="11.25" customHeight="1" thickBot="1" x14ac:dyDescent="0.25">
      <c r="B55" s="252"/>
      <c r="C55" s="253"/>
      <c r="D55" s="253"/>
      <c r="E55" s="253"/>
      <c r="F55" s="253"/>
      <c r="G55" s="253"/>
      <c r="H55" s="253"/>
      <c r="I55" s="253"/>
      <c r="J55" s="253"/>
      <c r="K55" s="55"/>
      <c r="L55" s="55"/>
      <c r="M55" s="55"/>
      <c r="N55" s="56"/>
      <c r="O55" s="153"/>
      <c r="P55"/>
      <c r="Q55"/>
      <c r="R55"/>
      <c r="S55"/>
    </row>
    <row r="56" spans="1:19" x14ac:dyDescent="0.2">
      <c r="O56" s="153"/>
      <c r="P56"/>
      <c r="Q56"/>
      <c r="R56"/>
      <c r="S56"/>
    </row>
  </sheetData>
  <sheetProtection password="CE5A" sheet="1" objects="1" scenarios="1"/>
  <mergeCells count="22">
    <mergeCell ref="H12:N12"/>
    <mergeCell ref="H13:N13"/>
    <mergeCell ref="H5:K5"/>
    <mergeCell ref="L5:N5"/>
    <mergeCell ref="H38:N38"/>
    <mergeCell ref="B55:J55"/>
    <mergeCell ref="G8:G10"/>
    <mergeCell ref="B32:C32"/>
    <mergeCell ref="G33:G35"/>
    <mergeCell ref="I33:M33"/>
    <mergeCell ref="H37:N37"/>
    <mergeCell ref="I8:M8"/>
    <mergeCell ref="E27:N27"/>
    <mergeCell ref="E28:N28"/>
    <mergeCell ref="B30:J30"/>
    <mergeCell ref="E25:N25"/>
    <mergeCell ref="E26:N26"/>
    <mergeCell ref="B2:N2"/>
    <mergeCell ref="B3:N3"/>
    <mergeCell ref="B7:C7"/>
    <mergeCell ref="E24:N24"/>
    <mergeCell ref="E5:G5"/>
  </mergeCells>
  <phoneticPr fontId="15" type="noConversion"/>
  <conditionalFormatting sqref="I15:I23">
    <cfRule type="cellIs" dxfId="343" priority="1" stopIfTrue="1" operator="between">
      <formula>MAX($I$15:$I$23)-0.5</formula>
      <formula>MAX($I$15:$I$23)+0.5</formula>
    </cfRule>
    <cfRule type="cellIs" dxfId="342" priority="2" stopIfTrue="1" operator="between">
      <formula>MAX($I$15:$I$23)-0.5</formula>
      <formula>MAX($I$15:$I$23)-1.5</formula>
    </cfRule>
    <cfRule type="cellIs" dxfId="341" priority="3" stopIfTrue="1" operator="between">
      <formula>MAX($I$15:$I$23)+0.5</formula>
      <formula>MAX($I$15:$I$23)+1.5</formula>
    </cfRule>
  </conditionalFormatting>
  <conditionalFormatting sqref="J15:J23">
    <cfRule type="cellIs" dxfId="340" priority="4" stopIfTrue="1" operator="between">
      <formula>MAX($J$15:$J$23)-0.5</formula>
      <formula>MAX($J$15:$J$23)+0.5</formula>
    </cfRule>
    <cfRule type="cellIs" dxfId="339" priority="5" stopIfTrue="1" operator="between">
      <formula>MAX($J$15:$J$23)-0.5</formula>
      <formula>MAX($J$15:$J$23)-1.5</formula>
    </cfRule>
    <cfRule type="cellIs" dxfId="338" priority="6" stopIfTrue="1" operator="between">
      <formula>MAX($J$15:$J$23)+0.5</formula>
      <formula>MAX($J$15:$J$23)+1.5</formula>
    </cfRule>
  </conditionalFormatting>
  <conditionalFormatting sqref="K15:K23">
    <cfRule type="cellIs" dxfId="337" priority="7" stopIfTrue="1" operator="between">
      <formula>MAX($K$15:$K$23)-0.5</formula>
      <formula>MAX($K$15:$K$23)+0.5</formula>
    </cfRule>
    <cfRule type="cellIs" dxfId="336" priority="8" stopIfTrue="1" operator="between">
      <formula>MAX($K$15:$K$23)-0.5</formula>
      <formula>MAX($K$15:$K$23)-1.5</formula>
    </cfRule>
    <cfRule type="cellIs" dxfId="335" priority="9" stopIfTrue="1" operator="between">
      <formula>MAX($K$15:$K$23)+0.5</formula>
      <formula>MAX($K$15:$K$23)+1.5</formula>
    </cfRule>
  </conditionalFormatting>
  <conditionalFormatting sqref="L15:L23">
    <cfRule type="cellIs" dxfId="334" priority="10" stopIfTrue="1" operator="between">
      <formula>MAX($L$15:$L$23)-0.5</formula>
      <formula>MAX($L$15:$L$23)+0.5</formula>
    </cfRule>
    <cfRule type="cellIs" dxfId="333" priority="11" stopIfTrue="1" operator="between">
      <formula>MAX($L$15:$L$23)-0.5</formula>
      <formula>MAX($L$15:$L$23)-1.5</formula>
    </cfRule>
    <cfRule type="cellIs" dxfId="332" priority="12" stopIfTrue="1" operator="between">
      <formula>MAX($L$15:$L$23+0.5)</formula>
      <formula>MAX($L$15:$L$23)+1.5</formula>
    </cfRule>
  </conditionalFormatting>
  <conditionalFormatting sqref="M15:M23">
    <cfRule type="cellIs" dxfId="331" priority="13" stopIfTrue="1" operator="between">
      <formula>MAX($M$15:$M$23)-0.5</formula>
      <formula>":$M$23)+0.5"</formula>
    </cfRule>
    <cfRule type="cellIs" dxfId="330" priority="14" stopIfTrue="1" operator="between">
      <formula>MAX($M$15:$M$23)-0.5</formula>
      <formula>MAX($M$15:$M$23)-1.5</formula>
    </cfRule>
    <cfRule type="cellIs" dxfId="329" priority="15" stopIfTrue="1" operator="between">
      <formula>MAX($M$15:$M$23)+0.5</formula>
      <formula>MAX($M$15:$M$23)+1.5</formula>
    </cfRule>
  </conditionalFormatting>
  <conditionalFormatting sqref="N15:N23">
    <cfRule type="cellIs" dxfId="328" priority="16" stopIfTrue="1" operator="between">
      <formula>MAX($N$15:$N$23)-0.5</formula>
      <formula>MAX($N$15:$N$23)+0.5</formula>
    </cfRule>
    <cfRule type="cellIs" dxfId="327" priority="17" stopIfTrue="1" operator="between">
      <formula>MAX($N$15:$N$23)-0.5</formula>
      <formula>MAX($N$15:$N$23)-1.5</formula>
    </cfRule>
    <cfRule type="cellIs" dxfId="326" priority="18" stopIfTrue="1" operator="between">
      <formula>MAX($N$15:$N$23)+0.5</formula>
      <formula>MAX($N$15:$N$23)+1.5</formula>
    </cfRule>
  </conditionalFormatting>
  <conditionalFormatting sqref="H40:H48">
    <cfRule type="cellIs" dxfId="325" priority="19" stopIfTrue="1" operator="between">
      <formula>MAX($H$40:$H$48)-0.5</formula>
      <formula>MAX($H$40:$H$48)+0.5</formula>
    </cfRule>
    <cfRule type="cellIs" dxfId="324" priority="20" stopIfTrue="1" operator="between">
      <formula>MAX($H$40:$H$48)-0.5</formula>
      <formula>MAX($H$40:$H$48)-1.5</formula>
    </cfRule>
    <cfRule type="cellIs" dxfId="323" priority="21" stopIfTrue="1" operator="between">
      <formula>MAX($H$40:$H$48+0.5)</formula>
      <formula>MAX($H$40:$H$48)+1.5</formula>
    </cfRule>
  </conditionalFormatting>
  <conditionalFormatting sqref="I40:I48">
    <cfRule type="cellIs" dxfId="322" priority="22" stopIfTrue="1" operator="between">
      <formula>MAX($I$40:$I$55)-0.5</formula>
      <formula>MAX($I$40:$I$55)+0.5</formula>
    </cfRule>
    <cfRule type="cellIs" dxfId="321" priority="23" stopIfTrue="1" operator="between">
      <formula>MAX($I$40:$I$55)-0.5</formula>
      <formula>MAX($I$40:$I$55)-1.5</formula>
    </cfRule>
    <cfRule type="cellIs" dxfId="320" priority="24" stopIfTrue="1" operator="between">
      <formula>MAX($I$40:$I$55)+0.5</formula>
      <formula>MAX($I$40:$I$55)+1.5</formula>
    </cfRule>
  </conditionalFormatting>
  <conditionalFormatting sqref="J40:J48">
    <cfRule type="cellIs" dxfId="319" priority="25" stopIfTrue="1" operator="between">
      <formula>MAX($J$40:$J$55)-0.5</formula>
      <formula>MAX($J$40:$J$55)+0.5</formula>
    </cfRule>
    <cfRule type="cellIs" dxfId="318" priority="26" stopIfTrue="1" operator="between">
      <formula>MAX($J$40:$J$55)-0.5</formula>
      <formula>MAX($J$40:$J$55)-1.5</formula>
    </cfRule>
    <cfRule type="cellIs" dxfId="317" priority="27" stopIfTrue="1" operator="between">
      <formula>MAX($J$40:$J$55)+0.5</formula>
      <formula>MAX($J$40:$J$55)+1.5</formula>
    </cfRule>
  </conditionalFormatting>
  <conditionalFormatting sqref="K40:K48">
    <cfRule type="cellIs" dxfId="316" priority="28" stopIfTrue="1" operator="between">
      <formula>MAX($K$40:$K$55)-0.5</formula>
      <formula>MAX($K$40:$K$55)+0.5</formula>
    </cfRule>
    <cfRule type="cellIs" dxfId="315" priority="29" stopIfTrue="1" operator="between">
      <formula>MAX($K$40:$K$55)-0.5</formula>
      <formula>MAX($K$40:$K$55)-1.5</formula>
    </cfRule>
    <cfRule type="cellIs" dxfId="314" priority="30" stopIfTrue="1" operator="between">
      <formula>MAX($K$40:$K$55)+0.5</formula>
      <formula>MAX($K$40:$K$55)+1.5</formula>
    </cfRule>
  </conditionalFormatting>
  <conditionalFormatting sqref="L40:L48">
    <cfRule type="cellIs" dxfId="313" priority="31" stopIfTrue="1" operator="between">
      <formula>MAX($L$40:$L$55)-0.5</formula>
      <formula>MAX($L$40:$L$55)+0.5</formula>
    </cfRule>
    <cfRule type="cellIs" dxfId="312" priority="32" stopIfTrue="1" operator="between">
      <formula>MAX($L$40:$L$55)-0.5</formula>
      <formula>MAX($L$40:$L$55)-1.5</formula>
    </cfRule>
    <cfRule type="cellIs" dxfId="311" priority="33" stopIfTrue="1" operator="between">
      <formula>MAX($L$40:$L$55)+0.5</formula>
      <formula>MAX($L$40:$L$55)+1.5</formula>
    </cfRule>
  </conditionalFormatting>
  <conditionalFormatting sqref="M40:M48">
    <cfRule type="cellIs" dxfId="310" priority="34" stopIfTrue="1" operator="between">
      <formula>MAX($M$40:$M$55)-0.5</formula>
      <formula>MAX($M$40:$M$55)+0.5</formula>
    </cfRule>
    <cfRule type="cellIs" dxfId="309" priority="35" stopIfTrue="1" operator="between">
      <formula>MAX($M$40:$M$55)-0.5</formula>
      <formula>MAX($M$40:$M$55)-1.5</formula>
    </cfRule>
    <cfRule type="cellIs" dxfId="308" priority="36" stopIfTrue="1" operator="between">
      <formula>MAX($M$40:$M$55)+0.5</formula>
      <formula>MAX($M$40:$M$55)+1.5</formula>
    </cfRule>
  </conditionalFormatting>
  <conditionalFormatting sqref="N40:N48">
    <cfRule type="cellIs" dxfId="307" priority="37" stopIfTrue="1" operator="between">
      <formula>MAX($N$40:$N$55)-0.5</formula>
      <formula>MAX($N$40:$N$55)+0.5</formula>
    </cfRule>
    <cfRule type="cellIs" dxfId="306" priority="38" stopIfTrue="1" operator="between">
      <formula>MAX($N$40:$N$55)-0.5</formula>
      <formula>MAX($N$40:$N$55)-1.5</formula>
    </cfRule>
    <cfRule type="cellIs" dxfId="305" priority="39" stopIfTrue="1" operator="between">
      <formula>MAX($N$40:$N$55)+0.5</formula>
      <formula>MAX($N$40:$N$55)+1.5</formula>
    </cfRule>
  </conditionalFormatting>
  <conditionalFormatting sqref="H15:H23">
    <cfRule type="cellIs" dxfId="304" priority="40" stopIfTrue="1" operator="between">
      <formula>MAX($H$15:$H$23)-0.5</formula>
      <formula>MAX($H$15:$H$23)+0.5</formula>
    </cfRule>
    <cfRule type="cellIs" dxfId="303" priority="41" stopIfTrue="1" operator="between">
      <formula>MAX($H$15:$H$23)-1.5</formula>
      <formula>MAX($H$15:$H$23)-0.5</formula>
    </cfRule>
    <cfRule type="cellIs" dxfId="302" priority="42" stopIfTrue="1" operator="between">
      <formula>MAX($H$15:$H$23)+0.5</formula>
      <formula>MAX($H$15:$H$23)+1.5</formula>
    </cfRule>
  </conditionalFormatting>
  <hyperlinks>
    <hyperlink ref="E5" location="'Barley (Dry) MR'!A1" display="Go to Marginal Revenue Chart"/>
    <hyperlink ref="H5" location="'Barley (Dry) Fertilizer'!A1" display="Go to Fertilizer Price as a Variable"/>
    <hyperlink ref="L5" location="'Data Entry'!A1" display="Return to Data Entry"/>
    <hyperlink ref="G33" location="'Wheat crop price'!D47" display="Go to Total Net Return"/>
    <hyperlink ref="G33:G35" location="'Barley (Dry) Crop'!D1" display="Return to Net Return"/>
    <hyperlink ref="G8" location="'Wheat crop price'!D47" display="Go to Total Net Return"/>
    <hyperlink ref="G8:G10" location="'Barley (Dry) Crop'!D53" display="Go to Total Net Return Below"/>
  </hyperlinks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showGridLines="0" workbookViewId="0">
      <selection activeCell="G18" sqref="G18"/>
    </sheetView>
  </sheetViews>
  <sheetFormatPr defaultRowHeight="12.75" x14ac:dyDescent="0.2"/>
  <cols>
    <col min="1" max="1" width="1.5703125" style="10" customWidth="1"/>
    <col min="2" max="2" width="17.28515625" style="10" customWidth="1"/>
    <col min="3" max="6" width="9.140625" style="10"/>
    <col min="7" max="7" width="13.5703125" style="10" customWidth="1"/>
    <col min="8" max="14" width="9.140625" style="10"/>
    <col min="15" max="15" width="12" style="154" customWidth="1"/>
    <col min="16" max="16" width="9.7109375" style="10" customWidth="1"/>
    <col min="17" max="16384" width="9.140625" style="10"/>
  </cols>
  <sheetData>
    <row r="1" spans="1:19" ht="6" customHeight="1" thickBot="1" x14ac:dyDescent="0.25">
      <c r="B1" s="11"/>
      <c r="C1" s="11"/>
      <c r="D1" s="11"/>
      <c r="E1" s="11"/>
      <c r="F1" s="11"/>
      <c r="G1" s="11"/>
      <c r="H1" s="11"/>
      <c r="I1" s="11"/>
      <c r="J1" s="11"/>
    </row>
    <row r="2" spans="1:19" ht="20.25" x14ac:dyDescent="0.3">
      <c r="A2" s="11"/>
      <c r="B2" s="234" t="s">
        <v>40</v>
      </c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6"/>
    </row>
    <row r="3" spans="1:19" ht="20.25" x14ac:dyDescent="0.3">
      <c r="A3" s="11"/>
      <c r="B3" s="237" t="s">
        <v>49</v>
      </c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9"/>
    </row>
    <row r="4" spans="1:19" ht="6.75" customHeight="1" x14ac:dyDescent="0.3">
      <c r="A4" s="11"/>
      <c r="B4" s="13"/>
      <c r="C4" s="14"/>
      <c r="D4" s="14"/>
      <c r="E4" s="14"/>
      <c r="F4" s="14"/>
      <c r="G4" s="14"/>
      <c r="H4" s="14"/>
      <c r="I4" s="14"/>
      <c r="J4" s="14"/>
      <c r="K4" s="12"/>
      <c r="L4" s="12"/>
      <c r="M4" s="12"/>
      <c r="N4" s="15"/>
      <c r="O4" s="159"/>
      <c r="P4" s="158"/>
      <c r="Q4" s="158"/>
    </row>
    <row r="5" spans="1:19" x14ac:dyDescent="0.2">
      <c r="B5" s="198"/>
      <c r="C5" s="199"/>
      <c r="D5" s="199"/>
      <c r="E5" s="233" t="s">
        <v>110</v>
      </c>
      <c r="F5" s="233"/>
      <c r="G5" s="233"/>
      <c r="H5" s="233" t="s">
        <v>120</v>
      </c>
      <c r="I5" s="233"/>
      <c r="J5" s="233"/>
      <c r="K5" s="283"/>
      <c r="L5" s="245" t="s">
        <v>96</v>
      </c>
      <c r="M5" s="283"/>
      <c r="N5" s="285"/>
      <c r="P5" s="158"/>
      <c r="Q5" s="158"/>
    </row>
    <row r="6" spans="1:19" ht="4.5" customHeight="1" thickBot="1" x14ac:dyDescent="0.25">
      <c r="A6" s="16"/>
      <c r="B6" s="17"/>
      <c r="C6" s="18"/>
      <c r="D6" s="18"/>
      <c r="E6" s="18"/>
      <c r="F6" s="18"/>
      <c r="G6" s="18"/>
      <c r="H6" s="18"/>
      <c r="I6" s="18"/>
      <c r="J6" s="18"/>
      <c r="K6" s="12"/>
      <c r="L6" s="12"/>
      <c r="M6" s="12"/>
      <c r="N6" s="15"/>
      <c r="O6" s="155"/>
    </row>
    <row r="7" spans="1:19" ht="15.75" customHeight="1" thickBot="1" x14ac:dyDescent="0.3">
      <c r="A7" s="16"/>
      <c r="B7" s="240" t="s">
        <v>39</v>
      </c>
      <c r="C7" s="241"/>
      <c r="D7" s="18"/>
      <c r="E7" s="18"/>
      <c r="F7" s="18"/>
      <c r="G7" s="18"/>
      <c r="H7" s="18"/>
      <c r="I7" s="19"/>
      <c r="J7" s="18"/>
      <c r="K7" s="19"/>
      <c r="L7" s="12"/>
      <c r="M7" s="12"/>
      <c r="N7" s="15"/>
      <c r="O7" s="155"/>
    </row>
    <row r="8" spans="1:19" ht="15" customHeight="1" x14ac:dyDescent="0.25">
      <c r="A8" s="16"/>
      <c r="B8" s="87" t="s">
        <v>1</v>
      </c>
      <c r="C8" s="21" t="str">
        <f>'Data Entry'!C7</f>
        <v>UREA</v>
      </c>
      <c r="D8" s="18"/>
      <c r="E8" s="22"/>
      <c r="F8" s="23"/>
      <c r="G8" s="231" t="s">
        <v>100</v>
      </c>
      <c r="H8" s="23"/>
      <c r="I8" s="274" t="s">
        <v>22</v>
      </c>
      <c r="J8" s="275"/>
      <c r="K8" s="275"/>
      <c r="L8" s="275"/>
      <c r="M8" s="275"/>
      <c r="N8" s="24"/>
      <c r="O8" s="155"/>
    </row>
    <row r="9" spans="1:19" ht="15" x14ac:dyDescent="0.2">
      <c r="A9" s="16"/>
      <c r="B9" s="20" t="s">
        <v>3</v>
      </c>
      <c r="C9" s="59">
        <f>'Data Entry'!C8</f>
        <v>700</v>
      </c>
      <c r="D9" s="18"/>
      <c r="E9" s="17"/>
      <c r="F9" s="18"/>
      <c r="G9" s="232"/>
      <c r="H9" s="18"/>
      <c r="I9" s="19"/>
      <c r="J9" s="18"/>
      <c r="K9" s="19"/>
      <c r="L9" s="12"/>
      <c r="M9" s="12"/>
      <c r="N9" s="15"/>
      <c r="O9" s="155"/>
    </row>
    <row r="10" spans="1:19" ht="15" x14ac:dyDescent="0.25">
      <c r="A10" s="16"/>
      <c r="B10" s="20" t="s">
        <v>4</v>
      </c>
      <c r="C10" s="25">
        <f>'Data Entry'!C9</f>
        <v>46</v>
      </c>
      <c r="D10" s="18"/>
      <c r="E10" s="17"/>
      <c r="F10" s="18"/>
      <c r="G10" s="232"/>
      <c r="H10" s="26">
        <f>K10-C14*3</f>
        <v>1</v>
      </c>
      <c r="I10" s="26">
        <f>K10-C14*2</f>
        <v>1.5</v>
      </c>
      <c r="J10" s="26">
        <f>K10-C14</f>
        <v>2</v>
      </c>
      <c r="K10" s="27">
        <f>'Data Entry'!F15</f>
        <v>2.5</v>
      </c>
      <c r="L10" s="26">
        <f>K10+C14</f>
        <v>3</v>
      </c>
      <c r="M10" s="26">
        <f>K10+C14*2</f>
        <v>3.5</v>
      </c>
      <c r="N10" s="28">
        <f>K10+C14*3</f>
        <v>4</v>
      </c>
      <c r="O10" s="155"/>
    </row>
    <row r="11" spans="1:19" ht="15" x14ac:dyDescent="0.25">
      <c r="A11" s="16"/>
      <c r="B11" s="20" t="s">
        <v>5</v>
      </c>
      <c r="C11" s="61">
        <f>(C9/((C10/100)*2200))</f>
        <v>0.69169960474308301</v>
      </c>
      <c r="D11" s="18"/>
      <c r="E11" s="17"/>
      <c r="F11" s="18"/>
      <c r="G11" s="29" t="s">
        <v>6</v>
      </c>
      <c r="H11" s="18"/>
      <c r="I11" s="18"/>
      <c r="J11" s="18"/>
      <c r="K11" s="12"/>
      <c r="L11" s="12"/>
      <c r="M11" s="12"/>
      <c r="N11" s="15"/>
      <c r="O11" s="155"/>
    </row>
    <row r="12" spans="1:19" ht="15" x14ac:dyDescent="0.25">
      <c r="A12" s="16"/>
      <c r="B12" s="30" t="s">
        <v>20</v>
      </c>
      <c r="C12" s="31">
        <f>'Data Entry'!C11</f>
        <v>10</v>
      </c>
      <c r="D12" s="18"/>
      <c r="E12" s="32"/>
      <c r="F12" s="29" t="s">
        <v>67</v>
      </c>
      <c r="G12" s="29" t="s">
        <v>7</v>
      </c>
      <c r="H12" s="269" t="s">
        <v>8</v>
      </c>
      <c r="I12" s="269"/>
      <c r="J12" s="269"/>
      <c r="K12" s="269"/>
      <c r="L12" s="269"/>
      <c r="M12" s="269"/>
      <c r="N12" s="270"/>
      <c r="O12" s="153"/>
      <c r="P12"/>
      <c r="Q12"/>
      <c r="R12"/>
      <c r="S12"/>
    </row>
    <row r="13" spans="1:19" ht="15.75" thickBot="1" x14ac:dyDescent="0.3">
      <c r="A13" s="16"/>
      <c r="B13" s="33" t="s">
        <v>106</v>
      </c>
      <c r="C13" s="34"/>
      <c r="D13" s="18"/>
      <c r="E13" s="35" t="s">
        <v>9</v>
      </c>
      <c r="F13" s="36" t="s">
        <v>68</v>
      </c>
      <c r="G13" s="36" t="s">
        <v>10</v>
      </c>
      <c r="H13" s="247" t="s">
        <v>23</v>
      </c>
      <c r="I13" s="247"/>
      <c r="J13" s="247"/>
      <c r="K13" s="247"/>
      <c r="L13" s="247"/>
      <c r="M13" s="247"/>
      <c r="N13" s="248"/>
      <c r="O13" s="153"/>
      <c r="P13"/>
      <c r="Q13"/>
      <c r="R13"/>
      <c r="S13"/>
    </row>
    <row r="14" spans="1:19" ht="15" x14ac:dyDescent="0.25">
      <c r="A14" s="16"/>
      <c r="B14" s="37" t="s">
        <v>108</v>
      </c>
      <c r="C14" s="38">
        <f>'Data Entry'!C13</f>
        <v>0.5</v>
      </c>
      <c r="D14" s="18"/>
      <c r="E14" s="39" t="s">
        <v>11</v>
      </c>
      <c r="F14" s="40" t="s">
        <v>12</v>
      </c>
      <c r="G14" s="40" t="s">
        <v>12</v>
      </c>
      <c r="H14" s="41">
        <f t="shared" ref="H14:N14" si="0">H10/$C$11</f>
        <v>1.4457142857142857</v>
      </c>
      <c r="I14" s="41">
        <f t="shared" si="0"/>
        <v>2.1685714285714286</v>
      </c>
      <c r="J14" s="41">
        <f t="shared" si="0"/>
        <v>2.8914285714285715</v>
      </c>
      <c r="K14" s="41">
        <f t="shared" si="0"/>
        <v>3.6142857142857143</v>
      </c>
      <c r="L14" s="41">
        <f t="shared" si="0"/>
        <v>4.3371428571428572</v>
      </c>
      <c r="M14" s="41">
        <f t="shared" si="0"/>
        <v>5.0599999999999996</v>
      </c>
      <c r="N14" s="42">
        <f t="shared" si="0"/>
        <v>5.7828571428571429</v>
      </c>
      <c r="O14" s="153"/>
      <c r="P14"/>
      <c r="Q14"/>
      <c r="R14"/>
      <c r="S14"/>
    </row>
    <row r="15" spans="1:19" ht="15" x14ac:dyDescent="0.25">
      <c r="A15" s="16"/>
      <c r="B15" s="43" t="s">
        <v>28</v>
      </c>
      <c r="C15" s="34"/>
      <c r="D15" s="18"/>
      <c r="E15" s="44">
        <f>IF((E19-4*$C$12)&lt;0,0,(E19-4*$C$12))</f>
        <v>0</v>
      </c>
      <c r="F15" s="126">
        <f>G15+(-0.0032*($C$16)^2 + 0.6709*($C$16))+23.93</f>
        <v>41.177000000000007</v>
      </c>
      <c r="G15" s="126">
        <f>IF((O15=-(-0.0032*($C$16)^2 + 0.6709*($C$16)-(-0.0032*($C$16)^2 + 0.6709*($C$16))))&lt;0,0,(-0.0032*(E15+$C$16)^2 + 0.6709*(E15+$C$16))-(-0.0032*($C$16)^2 + 0.6709*($C$16)))</f>
        <v>0</v>
      </c>
      <c r="H15" s="135">
        <f t="shared" ref="H15:N23" si="1">(H$10*$G15)-($C$11*($E15))</f>
        <v>0</v>
      </c>
      <c r="I15" s="135">
        <f t="shared" si="1"/>
        <v>0</v>
      </c>
      <c r="J15" s="135">
        <f t="shared" si="1"/>
        <v>0</v>
      </c>
      <c r="K15" s="135">
        <f t="shared" si="1"/>
        <v>0</v>
      </c>
      <c r="L15" s="135">
        <f t="shared" si="1"/>
        <v>0</v>
      </c>
      <c r="M15" s="135">
        <f t="shared" si="1"/>
        <v>0</v>
      </c>
      <c r="N15" s="136">
        <f t="shared" si="1"/>
        <v>0</v>
      </c>
      <c r="O15" s="153"/>
      <c r="P15"/>
      <c r="Q15"/>
      <c r="R15"/>
      <c r="S15"/>
    </row>
    <row r="16" spans="1:19" ht="15" x14ac:dyDescent="0.25">
      <c r="A16" s="16"/>
      <c r="B16" s="37" t="s">
        <v>29</v>
      </c>
      <c r="C16" s="45">
        <f>'Data Entry'!C15</f>
        <v>30</v>
      </c>
      <c r="D16" s="18"/>
      <c r="E16" s="44">
        <f>IF((E20-4*$C$12)&lt;0,0,(E20-4*$C$12))</f>
        <v>10</v>
      </c>
      <c r="F16" s="126">
        <f t="shared" ref="F16:F23" si="2">G16+(-0.0032*($C$16)^2 + 0.6709*($C$16))+23.93</f>
        <v>45.646000000000001</v>
      </c>
      <c r="G16" s="126">
        <f t="shared" ref="G16:G23" si="3">IF(((-0.0032*(E16+$C$16)^2 + 0.6709*(E16+$C$16))-(-0.0032*($C$16)^2 + 0.6709*($C$16)))&lt;0,0,(-0.0032*(E16+$C$16)^2 + 0.6709*(E16+$C$16))-(-0.0032*($C$16)^2 + 0.6709*($C$16)))</f>
        <v>4.4689999999999976</v>
      </c>
      <c r="H16" s="135">
        <f t="shared" si="1"/>
        <v>-2.4479960474308324</v>
      </c>
      <c r="I16" s="135">
        <f t="shared" si="1"/>
        <v>-0.21349604743083361</v>
      </c>
      <c r="J16" s="135">
        <f t="shared" si="1"/>
        <v>2.0210039525691652</v>
      </c>
      <c r="K16" s="135">
        <f t="shared" si="1"/>
        <v>4.255503952569164</v>
      </c>
      <c r="L16" s="135">
        <f t="shared" si="1"/>
        <v>6.4900039525691628</v>
      </c>
      <c r="M16" s="135">
        <f t="shared" si="1"/>
        <v>8.7245039525691617</v>
      </c>
      <c r="N16" s="136">
        <f t="shared" si="1"/>
        <v>10.95900395256916</v>
      </c>
      <c r="O16" s="153"/>
      <c r="P16"/>
      <c r="Q16"/>
      <c r="R16"/>
      <c r="S16"/>
    </row>
    <row r="17" spans="1:19" ht="15" x14ac:dyDescent="0.25">
      <c r="A17" s="16"/>
      <c r="B17" s="43" t="s">
        <v>30</v>
      </c>
      <c r="C17" s="46"/>
      <c r="D17" s="18"/>
      <c r="E17" s="44">
        <f>IF((E21-4*$C$12)&lt;0,0,(E21-4*$C$12))</f>
        <v>20</v>
      </c>
      <c r="F17" s="126">
        <f t="shared" si="2"/>
        <v>49.475000000000001</v>
      </c>
      <c r="G17" s="126">
        <f t="shared" si="3"/>
        <v>8.2979999999999983</v>
      </c>
      <c r="H17" s="135">
        <f t="shared" si="1"/>
        <v>-5.5359920948616619</v>
      </c>
      <c r="I17" s="135">
        <f t="shared" si="1"/>
        <v>-1.3869920948616627</v>
      </c>
      <c r="J17" s="135">
        <f t="shared" si="1"/>
        <v>2.7620079051383364</v>
      </c>
      <c r="K17" s="135">
        <f t="shared" si="1"/>
        <v>6.9110079051383373</v>
      </c>
      <c r="L17" s="135">
        <f t="shared" si="1"/>
        <v>11.060007905138335</v>
      </c>
      <c r="M17" s="135">
        <f t="shared" si="1"/>
        <v>15.209007905138332</v>
      </c>
      <c r="N17" s="136">
        <f t="shared" si="1"/>
        <v>19.358007905138333</v>
      </c>
      <c r="O17" s="153"/>
      <c r="P17"/>
      <c r="Q17"/>
      <c r="R17"/>
      <c r="S17"/>
    </row>
    <row r="18" spans="1:19" ht="15.75" thickBot="1" x14ac:dyDescent="0.3">
      <c r="A18" s="16"/>
      <c r="B18" s="17"/>
      <c r="C18" s="18"/>
      <c r="D18" s="18"/>
      <c r="E18" s="44">
        <f>IF((E22-4*$C$12)&lt;0,0,(E22-4*$C$12))</f>
        <v>30</v>
      </c>
      <c r="F18" s="126">
        <f t="shared" si="2"/>
        <v>52.664000000000001</v>
      </c>
      <c r="G18" s="126">
        <f t="shared" si="3"/>
        <v>11.486999999999998</v>
      </c>
      <c r="H18" s="135">
        <f t="shared" si="1"/>
        <v>-9.2639881422924937</v>
      </c>
      <c r="I18" s="135">
        <f t="shared" si="1"/>
        <v>-3.5204881422924927</v>
      </c>
      <c r="J18" s="135">
        <f t="shared" si="1"/>
        <v>2.2230118577075046</v>
      </c>
      <c r="K18" s="135">
        <f t="shared" si="1"/>
        <v>7.966511857707502</v>
      </c>
      <c r="L18" s="135">
        <f t="shared" si="1"/>
        <v>13.710011857707507</v>
      </c>
      <c r="M18" s="135">
        <f t="shared" si="1"/>
        <v>19.453511857707504</v>
      </c>
      <c r="N18" s="136">
        <f t="shared" si="1"/>
        <v>25.197011857707501</v>
      </c>
      <c r="O18" s="153"/>
      <c r="P18"/>
      <c r="Q18"/>
      <c r="R18"/>
      <c r="S18"/>
    </row>
    <row r="19" spans="1:19" ht="15.75" thickBot="1" x14ac:dyDescent="0.3">
      <c r="A19" s="16"/>
      <c r="B19" s="54"/>
      <c r="C19" s="48"/>
      <c r="D19" s="49" t="s">
        <v>13</v>
      </c>
      <c r="E19" s="50">
        <f>'Data Entry'!H10</f>
        <v>40</v>
      </c>
      <c r="F19" s="126">
        <f t="shared" si="2"/>
        <v>55.213000000000001</v>
      </c>
      <c r="G19" s="126">
        <f t="shared" si="3"/>
        <v>14.035999999999998</v>
      </c>
      <c r="H19" s="135">
        <f t="shared" si="1"/>
        <v>-13.631984189723322</v>
      </c>
      <c r="I19" s="135">
        <f t="shared" si="1"/>
        <v>-6.6139841897233254</v>
      </c>
      <c r="J19" s="135">
        <f t="shared" si="1"/>
        <v>0.40401581027667532</v>
      </c>
      <c r="K19" s="135">
        <f t="shared" si="1"/>
        <v>7.422015810276676</v>
      </c>
      <c r="L19" s="135">
        <f t="shared" si="1"/>
        <v>14.44001581027667</v>
      </c>
      <c r="M19" s="135">
        <f t="shared" si="1"/>
        <v>21.45801581027667</v>
      </c>
      <c r="N19" s="136">
        <f t="shared" si="1"/>
        <v>28.476015810276671</v>
      </c>
      <c r="O19" s="153"/>
      <c r="P19"/>
      <c r="Q19"/>
      <c r="R19"/>
      <c r="S19"/>
    </row>
    <row r="20" spans="1:19" ht="15" x14ac:dyDescent="0.25">
      <c r="A20" s="16"/>
      <c r="B20" s="17"/>
      <c r="C20" s="18"/>
      <c r="D20" s="18"/>
      <c r="E20" s="51">
        <f>E19+C12</f>
        <v>50</v>
      </c>
      <c r="F20" s="126">
        <f t="shared" si="2"/>
        <v>57.122000000000007</v>
      </c>
      <c r="G20" s="126">
        <f t="shared" si="3"/>
        <v>15.945000000000004</v>
      </c>
      <c r="H20" s="135">
        <f t="shared" si="1"/>
        <v>-18.639980237154145</v>
      </c>
      <c r="I20" s="135">
        <f t="shared" si="1"/>
        <v>-10.667480237154145</v>
      </c>
      <c r="J20" s="135">
        <f t="shared" si="1"/>
        <v>-2.6949802371541409</v>
      </c>
      <c r="K20" s="135">
        <f t="shared" si="1"/>
        <v>5.2775197628458628</v>
      </c>
      <c r="L20" s="135">
        <f t="shared" si="1"/>
        <v>13.250019762845859</v>
      </c>
      <c r="M20" s="135">
        <f t="shared" si="1"/>
        <v>21.222519762845863</v>
      </c>
      <c r="N20" s="136">
        <f t="shared" si="1"/>
        <v>29.195019762845867</v>
      </c>
      <c r="O20" s="153"/>
      <c r="P20"/>
      <c r="Q20"/>
      <c r="R20"/>
      <c r="S20"/>
    </row>
    <row r="21" spans="1:19" ht="15" x14ac:dyDescent="0.25">
      <c r="A21" s="16"/>
      <c r="B21" s="17"/>
      <c r="C21" s="18"/>
      <c r="D21" s="18"/>
      <c r="E21" s="51">
        <f>E19+2*C12</f>
        <v>60</v>
      </c>
      <c r="F21" s="126">
        <f t="shared" si="2"/>
        <v>58.391000000000005</v>
      </c>
      <c r="G21" s="126">
        <f t="shared" si="3"/>
        <v>17.214000000000002</v>
      </c>
      <c r="H21" s="135">
        <f t="shared" si="1"/>
        <v>-24.287976284584982</v>
      </c>
      <c r="I21" s="135">
        <f t="shared" si="1"/>
        <v>-15.680976284584979</v>
      </c>
      <c r="J21" s="135">
        <f t="shared" si="1"/>
        <v>-7.0739762845849796</v>
      </c>
      <c r="K21" s="135">
        <f t="shared" si="1"/>
        <v>1.5330237154150197</v>
      </c>
      <c r="L21" s="135">
        <f t="shared" si="1"/>
        <v>10.140023715415026</v>
      </c>
      <c r="M21" s="135">
        <f t="shared" si="1"/>
        <v>18.747023715415025</v>
      </c>
      <c r="N21" s="136">
        <f t="shared" si="1"/>
        <v>27.354023715415025</v>
      </c>
      <c r="O21" s="153"/>
      <c r="P21"/>
      <c r="Q21"/>
      <c r="R21"/>
      <c r="S21"/>
    </row>
    <row r="22" spans="1:19" ht="15" x14ac:dyDescent="0.25">
      <c r="A22" s="16"/>
      <c r="B22" s="17"/>
      <c r="C22" s="18"/>
      <c r="D22" s="18"/>
      <c r="E22" s="51">
        <f>E19+3*C12</f>
        <v>70</v>
      </c>
      <c r="F22" s="126">
        <f t="shared" si="2"/>
        <v>59.02</v>
      </c>
      <c r="G22" s="126">
        <f t="shared" si="3"/>
        <v>17.843</v>
      </c>
      <c r="H22" s="135">
        <f t="shared" si="1"/>
        <v>-30.575972332015812</v>
      </c>
      <c r="I22" s="135">
        <f t="shared" si="1"/>
        <v>-21.654472332015814</v>
      </c>
      <c r="J22" s="135">
        <f t="shared" si="1"/>
        <v>-12.732972332015812</v>
      </c>
      <c r="K22" s="135">
        <f t="shared" si="1"/>
        <v>-3.8114723320158106</v>
      </c>
      <c r="L22" s="135">
        <f t="shared" si="1"/>
        <v>5.1100276679841841</v>
      </c>
      <c r="M22" s="135">
        <f t="shared" si="1"/>
        <v>14.031527667984186</v>
      </c>
      <c r="N22" s="136">
        <f t="shared" si="1"/>
        <v>22.953027667984188</v>
      </c>
      <c r="O22" s="153"/>
      <c r="P22"/>
      <c r="Q22"/>
      <c r="R22"/>
      <c r="S22"/>
    </row>
    <row r="23" spans="1:19" ht="15" x14ac:dyDescent="0.25">
      <c r="A23" s="16"/>
      <c r="B23" s="17"/>
      <c r="C23" s="18"/>
      <c r="D23" s="18"/>
      <c r="E23" s="51">
        <f>E19+4*C12</f>
        <v>80</v>
      </c>
      <c r="F23" s="126">
        <f t="shared" si="2"/>
        <v>59.009000000000007</v>
      </c>
      <c r="G23" s="126">
        <f t="shared" si="3"/>
        <v>17.832000000000004</v>
      </c>
      <c r="H23" s="135">
        <f t="shared" si="1"/>
        <v>-37.503968379446633</v>
      </c>
      <c r="I23" s="135">
        <f t="shared" si="1"/>
        <v>-28.587968379446636</v>
      </c>
      <c r="J23" s="135">
        <f t="shared" si="1"/>
        <v>-19.671968379446632</v>
      </c>
      <c r="K23" s="135">
        <f t="shared" si="1"/>
        <v>-10.755968379446628</v>
      </c>
      <c r="L23" s="135">
        <f t="shared" si="1"/>
        <v>-1.8399683794466313</v>
      </c>
      <c r="M23" s="135">
        <f t="shared" si="1"/>
        <v>7.0760316205533726</v>
      </c>
      <c r="N23" s="136">
        <f t="shared" si="1"/>
        <v>15.992031620553377</v>
      </c>
      <c r="O23" s="153"/>
      <c r="P23"/>
      <c r="Q23"/>
      <c r="R23"/>
      <c r="S23"/>
    </row>
    <row r="24" spans="1:19" ht="13.5" customHeight="1" x14ac:dyDescent="0.2">
      <c r="A24" s="16"/>
      <c r="B24" s="17"/>
      <c r="C24" s="18"/>
      <c r="D24" s="18"/>
      <c r="E24" s="271" t="s">
        <v>55</v>
      </c>
      <c r="F24" s="272"/>
      <c r="G24" s="272"/>
      <c r="H24" s="272"/>
      <c r="I24" s="272"/>
      <c r="J24" s="272"/>
      <c r="K24" s="272"/>
      <c r="L24" s="272"/>
      <c r="M24" s="272"/>
      <c r="N24" s="273"/>
      <c r="O24" s="153"/>
      <c r="P24"/>
      <c r="Q24"/>
      <c r="R24"/>
      <c r="S24"/>
    </row>
    <row r="25" spans="1:19" ht="9.75" customHeight="1" x14ac:dyDescent="0.2">
      <c r="A25" s="16"/>
      <c r="B25" s="17"/>
      <c r="C25" s="18"/>
      <c r="D25" s="18"/>
      <c r="E25" s="266" t="s">
        <v>16</v>
      </c>
      <c r="F25" s="267"/>
      <c r="G25" s="267"/>
      <c r="H25" s="267"/>
      <c r="I25" s="267"/>
      <c r="J25" s="267"/>
      <c r="K25" s="267"/>
      <c r="L25" s="267"/>
      <c r="M25" s="267"/>
      <c r="N25" s="268"/>
      <c r="O25" s="153"/>
      <c r="P25"/>
      <c r="Q25"/>
      <c r="R25"/>
      <c r="S25"/>
    </row>
    <row r="26" spans="1:19" ht="9.75" customHeight="1" x14ac:dyDescent="0.2">
      <c r="A26" s="16"/>
      <c r="B26" s="17"/>
      <c r="C26" s="18"/>
      <c r="D26" s="18"/>
      <c r="E26" s="266" t="s">
        <v>24</v>
      </c>
      <c r="F26" s="267"/>
      <c r="G26" s="267"/>
      <c r="H26" s="267"/>
      <c r="I26" s="267"/>
      <c r="J26" s="267"/>
      <c r="K26" s="267"/>
      <c r="L26" s="267"/>
      <c r="M26" s="267"/>
      <c r="N26" s="268"/>
      <c r="O26" s="153"/>
      <c r="P26"/>
      <c r="Q26"/>
      <c r="R26"/>
      <c r="S26"/>
    </row>
    <row r="27" spans="1:19" ht="11.25" customHeight="1" x14ac:dyDescent="0.2">
      <c r="A27" s="16"/>
      <c r="B27" s="17"/>
      <c r="C27" s="18"/>
      <c r="D27" s="18"/>
      <c r="E27" s="262" t="s">
        <v>87</v>
      </c>
      <c r="F27" s="263"/>
      <c r="G27" s="263"/>
      <c r="H27" s="263"/>
      <c r="I27" s="263"/>
      <c r="J27" s="263"/>
      <c r="K27" s="264"/>
      <c r="L27" s="264"/>
      <c r="M27" s="264"/>
      <c r="N27" s="265"/>
      <c r="O27" s="153"/>
      <c r="P27"/>
      <c r="Q27"/>
      <c r="R27"/>
      <c r="S27"/>
    </row>
    <row r="28" spans="1:19" ht="12" customHeight="1" thickBot="1" x14ac:dyDescent="0.25">
      <c r="A28" s="16"/>
      <c r="B28" s="17"/>
      <c r="C28" s="18"/>
      <c r="D28" s="18"/>
      <c r="E28" s="277" t="s">
        <v>38</v>
      </c>
      <c r="F28" s="278"/>
      <c r="G28" s="279"/>
      <c r="H28" s="279"/>
      <c r="I28" s="279"/>
      <c r="J28" s="279"/>
      <c r="K28" s="280"/>
      <c r="L28" s="280"/>
      <c r="M28" s="280"/>
      <c r="N28" s="281"/>
      <c r="O28" s="153"/>
      <c r="P28"/>
      <c r="Q28"/>
      <c r="R28"/>
      <c r="S28"/>
    </row>
    <row r="29" spans="1:19" ht="10.5" customHeight="1" x14ac:dyDescent="0.2">
      <c r="A29" s="16"/>
      <c r="B29" s="17"/>
      <c r="C29" s="18"/>
      <c r="D29" s="18"/>
      <c r="E29" s="53"/>
      <c r="F29" s="53"/>
      <c r="G29" s="53"/>
      <c r="H29" s="53"/>
      <c r="I29" s="53"/>
      <c r="J29" s="53"/>
      <c r="K29" s="12"/>
      <c r="L29" s="12"/>
      <c r="M29" s="12"/>
      <c r="N29" s="15"/>
      <c r="O29" s="153"/>
      <c r="P29"/>
      <c r="Q29"/>
      <c r="R29"/>
      <c r="S29"/>
    </row>
    <row r="30" spans="1:19" ht="10.5" customHeight="1" thickBot="1" x14ac:dyDescent="0.25">
      <c r="B30" s="252"/>
      <c r="C30" s="253"/>
      <c r="D30" s="253"/>
      <c r="E30" s="253"/>
      <c r="F30" s="253"/>
      <c r="G30" s="253"/>
      <c r="H30" s="253"/>
      <c r="I30" s="253"/>
      <c r="J30" s="253"/>
      <c r="K30" s="55"/>
      <c r="L30" s="55"/>
      <c r="M30" s="55"/>
      <c r="N30" s="56"/>
      <c r="O30" s="153"/>
      <c r="P30"/>
      <c r="Q30"/>
      <c r="R30"/>
      <c r="S30"/>
    </row>
    <row r="31" spans="1:19" ht="4.5" customHeight="1" thickBot="1" x14ac:dyDescent="0.25">
      <c r="B31" s="189"/>
      <c r="N31" s="24"/>
      <c r="O31" s="153"/>
      <c r="P31"/>
      <c r="Q31"/>
      <c r="R31"/>
      <c r="S31"/>
    </row>
    <row r="32" spans="1:19" ht="15.75" customHeight="1" thickBot="1" x14ac:dyDescent="0.3">
      <c r="A32" s="16"/>
      <c r="B32" s="240" t="s">
        <v>39</v>
      </c>
      <c r="C32" s="241"/>
      <c r="E32" s="18"/>
      <c r="F32" s="18"/>
      <c r="G32" s="18"/>
      <c r="H32" s="18"/>
      <c r="I32" s="19"/>
      <c r="J32" s="18"/>
      <c r="K32" s="19"/>
      <c r="L32" s="12"/>
      <c r="M32" s="12"/>
      <c r="N32" s="15"/>
      <c r="O32" s="155"/>
    </row>
    <row r="33" spans="1:19" ht="15" customHeight="1" x14ac:dyDescent="0.25">
      <c r="A33" s="16"/>
      <c r="B33" s="87" t="s">
        <v>1</v>
      </c>
      <c r="C33" s="21" t="str">
        <f>'Data Entry'!C7</f>
        <v>UREA</v>
      </c>
      <c r="D33" s="18"/>
      <c r="F33" s="22"/>
      <c r="G33" s="231" t="s">
        <v>102</v>
      </c>
      <c r="H33" s="23"/>
      <c r="I33" s="274" t="s">
        <v>22</v>
      </c>
      <c r="J33" s="275"/>
      <c r="K33" s="275"/>
      <c r="L33" s="275"/>
      <c r="M33" s="275"/>
      <c r="N33" s="24"/>
      <c r="O33" s="155"/>
    </row>
    <row r="34" spans="1:19" ht="15" x14ac:dyDescent="0.2">
      <c r="A34" s="16"/>
      <c r="B34" s="20" t="s">
        <v>3</v>
      </c>
      <c r="C34" s="179">
        <f>'Data Entry'!C8</f>
        <v>700</v>
      </c>
      <c r="D34" s="18"/>
      <c r="F34" s="17"/>
      <c r="G34" s="232"/>
      <c r="H34" s="18"/>
      <c r="I34" s="19"/>
      <c r="J34" s="18"/>
      <c r="K34" s="19"/>
      <c r="L34" s="12"/>
      <c r="M34" s="12"/>
      <c r="N34" s="15"/>
      <c r="O34" s="155"/>
    </row>
    <row r="35" spans="1:19" ht="15" x14ac:dyDescent="0.25">
      <c r="A35" s="16"/>
      <c r="B35" s="20" t="s">
        <v>4</v>
      </c>
      <c r="C35" s="25">
        <f>'Data Entry'!C9</f>
        <v>46</v>
      </c>
      <c r="D35" s="18"/>
      <c r="F35" s="17"/>
      <c r="G35" s="232"/>
      <c r="H35" s="26">
        <f>K35-C39*3</f>
        <v>1</v>
      </c>
      <c r="I35" s="26">
        <f>K35-C39*2</f>
        <v>1.5</v>
      </c>
      <c r="J35" s="26">
        <f>K35-C39</f>
        <v>2</v>
      </c>
      <c r="K35" s="27">
        <f>'Data Entry'!F15</f>
        <v>2.5</v>
      </c>
      <c r="L35" s="26">
        <f>K35+C39</f>
        <v>3</v>
      </c>
      <c r="M35" s="26">
        <f>K35+C39*2</f>
        <v>3.5</v>
      </c>
      <c r="N35" s="28">
        <f>K35+C39*3</f>
        <v>4</v>
      </c>
      <c r="O35" s="155"/>
    </row>
    <row r="36" spans="1:19" ht="15" x14ac:dyDescent="0.25">
      <c r="A36" s="16"/>
      <c r="B36" s="20" t="s">
        <v>5</v>
      </c>
      <c r="C36" s="61">
        <f>(C34/((C35/100)*2200))</f>
        <v>0.69169960474308301</v>
      </c>
      <c r="D36" s="18"/>
      <c r="F36" s="17"/>
      <c r="G36" s="29" t="s">
        <v>6</v>
      </c>
      <c r="H36" s="18"/>
      <c r="I36" s="18"/>
      <c r="J36" s="18"/>
      <c r="K36" s="12"/>
      <c r="L36" s="12"/>
      <c r="M36" s="12"/>
      <c r="N36" s="15"/>
      <c r="O36" s="155"/>
    </row>
    <row r="37" spans="1:19" ht="15" x14ac:dyDescent="0.25">
      <c r="A37" s="16"/>
      <c r="B37" s="30" t="s">
        <v>20</v>
      </c>
      <c r="C37" s="31">
        <f>'Data Entry'!C11</f>
        <v>10</v>
      </c>
      <c r="D37" s="18"/>
      <c r="F37" s="32"/>
      <c r="G37" s="70" t="s">
        <v>67</v>
      </c>
      <c r="H37" s="229" t="s">
        <v>112</v>
      </c>
      <c r="I37" s="229"/>
      <c r="J37" s="229"/>
      <c r="K37" s="229"/>
      <c r="L37" s="229"/>
      <c r="M37" s="229"/>
      <c r="N37" s="230"/>
      <c r="O37" s="153"/>
      <c r="P37"/>
      <c r="Q37"/>
      <c r="R37"/>
      <c r="S37"/>
    </row>
    <row r="38" spans="1:19" ht="15.75" thickBot="1" x14ac:dyDescent="0.3">
      <c r="A38" s="16"/>
      <c r="B38" s="33" t="s">
        <v>106</v>
      </c>
      <c r="C38" s="34"/>
      <c r="D38" s="18"/>
      <c r="F38" s="35" t="s">
        <v>9</v>
      </c>
      <c r="G38" s="73" t="s">
        <v>68</v>
      </c>
      <c r="H38" s="247" t="s">
        <v>23</v>
      </c>
      <c r="I38" s="247"/>
      <c r="J38" s="247"/>
      <c r="K38" s="247"/>
      <c r="L38" s="247"/>
      <c r="M38" s="247"/>
      <c r="N38" s="248"/>
      <c r="O38" s="153"/>
      <c r="P38"/>
      <c r="Q38"/>
      <c r="R38"/>
      <c r="S38"/>
    </row>
    <row r="39" spans="1:19" ht="15" x14ac:dyDescent="0.25">
      <c r="A39" s="16"/>
      <c r="B39" s="37" t="s">
        <v>108</v>
      </c>
      <c r="C39" s="57">
        <f>'Data Entry'!C13</f>
        <v>0.5</v>
      </c>
      <c r="D39" s="18"/>
      <c r="F39" s="39" t="s">
        <v>11</v>
      </c>
      <c r="G39" s="75" t="s">
        <v>12</v>
      </c>
      <c r="H39" s="41">
        <f t="shared" ref="H39:N39" si="4">H35/$C$11</f>
        <v>1.4457142857142857</v>
      </c>
      <c r="I39" s="41">
        <f t="shared" si="4"/>
        <v>2.1685714285714286</v>
      </c>
      <c r="J39" s="41">
        <f t="shared" si="4"/>
        <v>2.8914285714285715</v>
      </c>
      <c r="K39" s="41">
        <f t="shared" si="4"/>
        <v>3.6142857142857143</v>
      </c>
      <c r="L39" s="41">
        <f t="shared" si="4"/>
        <v>4.3371428571428572</v>
      </c>
      <c r="M39" s="41">
        <f t="shared" si="4"/>
        <v>5.0599999999999996</v>
      </c>
      <c r="N39" s="42">
        <f t="shared" si="4"/>
        <v>5.7828571428571429</v>
      </c>
      <c r="O39" s="153"/>
      <c r="P39"/>
      <c r="Q39"/>
      <c r="R39"/>
      <c r="S39"/>
    </row>
    <row r="40" spans="1:19" ht="15" x14ac:dyDescent="0.25">
      <c r="A40" s="16"/>
      <c r="B40" s="43" t="s">
        <v>28</v>
      </c>
      <c r="C40" s="34"/>
      <c r="D40" s="18"/>
      <c r="F40" s="44">
        <f>IF((F44-4*$C$12)&lt;0,0,(F44-4*$C$12))</f>
        <v>0</v>
      </c>
      <c r="G40" s="126">
        <f>G15+(-0.0032*($C$16)^2 + 0.6709*($C$16))+23.93</f>
        <v>41.177000000000007</v>
      </c>
      <c r="H40" s="135">
        <f t="shared" ref="H40:N48" si="5">(H$10*$G40)-($C$11*($F40))</f>
        <v>41.177000000000007</v>
      </c>
      <c r="I40" s="135">
        <f t="shared" si="5"/>
        <v>61.76550000000001</v>
      </c>
      <c r="J40" s="135">
        <f t="shared" si="5"/>
        <v>82.354000000000013</v>
      </c>
      <c r="K40" s="135">
        <f t="shared" si="5"/>
        <v>102.94250000000002</v>
      </c>
      <c r="L40" s="135">
        <f t="shared" si="5"/>
        <v>123.53100000000002</v>
      </c>
      <c r="M40" s="135">
        <f t="shared" si="5"/>
        <v>144.11950000000002</v>
      </c>
      <c r="N40" s="136">
        <f t="shared" si="5"/>
        <v>164.70800000000003</v>
      </c>
      <c r="O40" s="153"/>
      <c r="P40"/>
      <c r="Q40"/>
      <c r="R40"/>
      <c r="S40"/>
    </row>
    <row r="41" spans="1:19" ht="15" x14ac:dyDescent="0.25">
      <c r="A41" s="16"/>
      <c r="B41" s="37" t="s">
        <v>29</v>
      </c>
      <c r="C41" s="45">
        <f>'Data Entry'!C15</f>
        <v>30</v>
      </c>
      <c r="D41" s="18"/>
      <c r="F41" s="44">
        <f>IF((F45-4*$C$12)&lt;0,0,(F45-4*$C$12))</f>
        <v>10</v>
      </c>
      <c r="G41" s="126">
        <f t="shared" ref="G41:G48" si="6">G16+(-0.0032*($C$16)^2 + 0.6709*($C$16))+23.93</f>
        <v>45.646000000000001</v>
      </c>
      <c r="H41" s="135">
        <f t="shared" si="5"/>
        <v>38.729003952569172</v>
      </c>
      <c r="I41" s="135">
        <f t="shared" si="5"/>
        <v>61.552003952569166</v>
      </c>
      <c r="J41" s="135">
        <f t="shared" si="5"/>
        <v>84.375003952569173</v>
      </c>
      <c r="K41" s="135">
        <f t="shared" si="5"/>
        <v>107.19800395256918</v>
      </c>
      <c r="L41" s="135">
        <f t="shared" si="5"/>
        <v>130.02100395256915</v>
      </c>
      <c r="M41" s="135">
        <f t="shared" si="5"/>
        <v>152.84400395256915</v>
      </c>
      <c r="N41" s="136">
        <f t="shared" si="5"/>
        <v>175.66700395256916</v>
      </c>
      <c r="O41" s="153"/>
      <c r="P41"/>
      <c r="Q41"/>
      <c r="R41"/>
      <c r="S41"/>
    </row>
    <row r="42" spans="1:19" ht="15" x14ac:dyDescent="0.25">
      <c r="A42" s="16"/>
      <c r="B42" s="43" t="s">
        <v>30</v>
      </c>
      <c r="C42" s="46"/>
      <c r="D42" s="18"/>
      <c r="F42" s="44">
        <f>IF((F46-4*$C$12)&lt;0,0,(F46-4*$C$12))</f>
        <v>20</v>
      </c>
      <c r="G42" s="126">
        <f t="shared" si="6"/>
        <v>49.475000000000001</v>
      </c>
      <c r="H42" s="135">
        <f t="shared" si="5"/>
        <v>35.641007905138338</v>
      </c>
      <c r="I42" s="135">
        <f t="shared" si="5"/>
        <v>60.378507905138349</v>
      </c>
      <c r="J42" s="135">
        <f t="shared" si="5"/>
        <v>85.116007905138346</v>
      </c>
      <c r="K42" s="135">
        <f t="shared" si="5"/>
        <v>109.85350790513834</v>
      </c>
      <c r="L42" s="135">
        <f t="shared" si="5"/>
        <v>134.59100790513835</v>
      </c>
      <c r="M42" s="135">
        <f t="shared" si="5"/>
        <v>159.32850790513834</v>
      </c>
      <c r="N42" s="136">
        <f t="shared" si="5"/>
        <v>184.06600790513835</v>
      </c>
      <c r="O42" s="153"/>
      <c r="P42"/>
      <c r="Q42"/>
      <c r="R42"/>
      <c r="S42"/>
    </row>
    <row r="43" spans="1:19" ht="15.75" thickBot="1" x14ac:dyDescent="0.3">
      <c r="A43" s="16"/>
      <c r="B43" s="17"/>
      <c r="C43" s="18"/>
      <c r="D43" s="18"/>
      <c r="F43" s="44">
        <f>IF((F47-4*$C$12)&lt;0,0,(F47-4*$C$12))</f>
        <v>30</v>
      </c>
      <c r="G43" s="126">
        <f t="shared" si="6"/>
        <v>52.664000000000001</v>
      </c>
      <c r="H43" s="135">
        <f t="shared" si="5"/>
        <v>31.913011857707509</v>
      </c>
      <c r="I43" s="135">
        <f t="shared" si="5"/>
        <v>58.245011857707517</v>
      </c>
      <c r="J43" s="135">
        <f t="shared" si="5"/>
        <v>84.577011857707504</v>
      </c>
      <c r="K43" s="135">
        <f t="shared" si="5"/>
        <v>110.9090118577075</v>
      </c>
      <c r="L43" s="135">
        <f t="shared" si="5"/>
        <v>137.24101185770752</v>
      </c>
      <c r="M43" s="135">
        <f t="shared" si="5"/>
        <v>163.57301185770751</v>
      </c>
      <c r="N43" s="136">
        <f t="shared" si="5"/>
        <v>189.90501185770751</v>
      </c>
      <c r="O43" s="153"/>
      <c r="P43"/>
      <c r="Q43"/>
      <c r="R43"/>
      <c r="S43"/>
    </row>
    <row r="44" spans="1:19" ht="15.75" thickBot="1" x14ac:dyDescent="0.3">
      <c r="A44" s="16"/>
      <c r="B44" s="47"/>
      <c r="C44" s="48"/>
      <c r="E44" s="49" t="s">
        <v>13</v>
      </c>
      <c r="F44" s="50">
        <f>E19</f>
        <v>40</v>
      </c>
      <c r="G44" s="126">
        <f t="shared" si="6"/>
        <v>55.213000000000001</v>
      </c>
      <c r="H44" s="135">
        <f t="shared" si="5"/>
        <v>27.545015810276681</v>
      </c>
      <c r="I44" s="135">
        <f t="shared" si="5"/>
        <v>55.151515810276685</v>
      </c>
      <c r="J44" s="135">
        <f t="shared" si="5"/>
        <v>82.758015810276675</v>
      </c>
      <c r="K44" s="135">
        <f t="shared" si="5"/>
        <v>110.36451581027669</v>
      </c>
      <c r="L44" s="135">
        <f t="shared" si="5"/>
        <v>137.9710158102767</v>
      </c>
      <c r="M44" s="135">
        <f t="shared" si="5"/>
        <v>165.57751581027668</v>
      </c>
      <c r="N44" s="136">
        <f t="shared" si="5"/>
        <v>193.18401581027669</v>
      </c>
      <c r="O44" s="153"/>
      <c r="P44"/>
      <c r="Q44"/>
      <c r="R44"/>
      <c r="S44"/>
    </row>
    <row r="45" spans="1:19" ht="15" x14ac:dyDescent="0.25">
      <c r="A45" s="16"/>
      <c r="B45" s="17"/>
      <c r="C45" s="18"/>
      <c r="D45" s="18"/>
      <c r="F45" s="51">
        <f>F44+C37</f>
        <v>50</v>
      </c>
      <c r="G45" s="126">
        <f t="shared" si="6"/>
        <v>57.122000000000007</v>
      </c>
      <c r="H45" s="135">
        <f t="shared" si="5"/>
        <v>22.537019762845858</v>
      </c>
      <c r="I45" s="135">
        <f t="shared" si="5"/>
        <v>51.098019762845858</v>
      </c>
      <c r="J45" s="135">
        <f t="shared" si="5"/>
        <v>79.659019762845872</v>
      </c>
      <c r="K45" s="135">
        <f t="shared" si="5"/>
        <v>108.22001976284585</v>
      </c>
      <c r="L45" s="135">
        <f t="shared" si="5"/>
        <v>136.78101976284586</v>
      </c>
      <c r="M45" s="135">
        <f t="shared" si="5"/>
        <v>165.34201976284587</v>
      </c>
      <c r="N45" s="136">
        <f t="shared" si="5"/>
        <v>193.90301976284587</v>
      </c>
      <c r="O45" s="153"/>
      <c r="P45"/>
      <c r="Q45"/>
      <c r="R45"/>
      <c r="S45"/>
    </row>
    <row r="46" spans="1:19" ht="15" x14ac:dyDescent="0.25">
      <c r="A46" s="16"/>
      <c r="B46" s="17"/>
      <c r="C46" s="52"/>
      <c r="D46" s="18"/>
      <c r="F46" s="51">
        <f>F44+2*C37</f>
        <v>60</v>
      </c>
      <c r="G46" s="126">
        <f t="shared" si="6"/>
        <v>58.391000000000005</v>
      </c>
      <c r="H46" s="135">
        <f t="shared" si="5"/>
        <v>16.889023715415021</v>
      </c>
      <c r="I46" s="135">
        <f t="shared" si="5"/>
        <v>46.084523715415017</v>
      </c>
      <c r="J46" s="135">
        <f t="shared" si="5"/>
        <v>75.280023715415027</v>
      </c>
      <c r="K46" s="135">
        <f t="shared" si="5"/>
        <v>104.47552371541504</v>
      </c>
      <c r="L46" s="135">
        <f t="shared" si="5"/>
        <v>133.671023715415</v>
      </c>
      <c r="M46" s="135">
        <f t="shared" si="5"/>
        <v>162.86652371541504</v>
      </c>
      <c r="N46" s="136">
        <f t="shared" si="5"/>
        <v>192.06202371541502</v>
      </c>
      <c r="O46" s="153"/>
      <c r="P46"/>
      <c r="Q46"/>
      <c r="R46"/>
      <c r="S46"/>
    </row>
    <row r="47" spans="1:19" ht="15" x14ac:dyDescent="0.25">
      <c r="A47" s="16"/>
      <c r="B47" s="17"/>
      <c r="C47" s="18"/>
      <c r="D47" s="18"/>
      <c r="F47" s="51">
        <f>F44+3*C37</f>
        <v>70</v>
      </c>
      <c r="G47" s="126">
        <f t="shared" si="6"/>
        <v>59.02</v>
      </c>
      <c r="H47" s="135">
        <f t="shared" si="5"/>
        <v>10.601027667984191</v>
      </c>
      <c r="I47" s="135">
        <f t="shared" si="5"/>
        <v>40.111027667984189</v>
      </c>
      <c r="J47" s="135">
        <f t="shared" si="5"/>
        <v>69.621027667984194</v>
      </c>
      <c r="K47" s="135">
        <f t="shared" si="5"/>
        <v>99.131027667984199</v>
      </c>
      <c r="L47" s="135">
        <f t="shared" si="5"/>
        <v>128.64102766798419</v>
      </c>
      <c r="M47" s="135">
        <f t="shared" si="5"/>
        <v>158.15102766798421</v>
      </c>
      <c r="N47" s="136">
        <f t="shared" si="5"/>
        <v>187.6610276679842</v>
      </c>
      <c r="O47" s="153"/>
      <c r="P47"/>
      <c r="Q47"/>
      <c r="R47"/>
      <c r="S47"/>
    </row>
    <row r="48" spans="1:19" ht="15" x14ac:dyDescent="0.25">
      <c r="A48" s="16"/>
      <c r="B48" s="17"/>
      <c r="C48" s="18"/>
      <c r="D48" s="18"/>
      <c r="F48" s="51">
        <f>F44+4*C37</f>
        <v>80</v>
      </c>
      <c r="G48" s="126">
        <f t="shared" si="6"/>
        <v>59.009000000000007</v>
      </c>
      <c r="H48" s="135">
        <f t="shared" si="5"/>
        <v>3.6730316205533668</v>
      </c>
      <c r="I48" s="135">
        <f t="shared" si="5"/>
        <v>33.177531620553367</v>
      </c>
      <c r="J48" s="135">
        <f t="shared" si="5"/>
        <v>62.682031620553374</v>
      </c>
      <c r="K48" s="135">
        <f t="shared" si="5"/>
        <v>92.186531620553367</v>
      </c>
      <c r="L48" s="135">
        <f t="shared" si="5"/>
        <v>121.69103162055337</v>
      </c>
      <c r="M48" s="135">
        <f t="shared" si="5"/>
        <v>151.19553162055337</v>
      </c>
      <c r="N48" s="136">
        <f t="shared" si="5"/>
        <v>180.70003162055337</v>
      </c>
      <c r="O48" s="153"/>
      <c r="P48"/>
      <c r="Q48"/>
      <c r="R48"/>
      <c r="S48"/>
    </row>
    <row r="49" spans="1:19" ht="13.5" customHeight="1" x14ac:dyDescent="0.2">
      <c r="A49" s="16"/>
      <c r="B49" s="17"/>
      <c r="C49" s="18"/>
      <c r="D49" s="18"/>
      <c r="F49" s="180" t="s">
        <v>55</v>
      </c>
      <c r="G49" s="173"/>
      <c r="H49" s="173"/>
      <c r="I49" s="173"/>
      <c r="J49" s="173"/>
      <c r="K49" s="173"/>
      <c r="L49" s="173"/>
      <c r="M49" s="173"/>
      <c r="N49" s="174"/>
      <c r="O49" s="153"/>
      <c r="P49"/>
      <c r="Q49"/>
      <c r="R49"/>
      <c r="S49"/>
    </row>
    <row r="50" spans="1:19" ht="9.75" customHeight="1" x14ac:dyDescent="0.2">
      <c r="A50" s="16"/>
      <c r="B50" s="17"/>
      <c r="C50" s="18"/>
      <c r="D50" s="18"/>
      <c r="F50" s="183" t="s">
        <v>16</v>
      </c>
      <c r="G50" s="175"/>
      <c r="H50" s="175"/>
      <c r="I50" s="175"/>
      <c r="J50" s="175"/>
      <c r="K50" s="175"/>
      <c r="L50" s="175"/>
      <c r="M50" s="175"/>
      <c r="N50" s="176"/>
      <c r="O50" s="153"/>
      <c r="P50"/>
      <c r="Q50"/>
      <c r="R50"/>
      <c r="S50"/>
    </row>
    <row r="51" spans="1:19" ht="9.75" customHeight="1" x14ac:dyDescent="0.2">
      <c r="A51" s="16"/>
      <c r="B51" s="17"/>
      <c r="C51" s="18"/>
      <c r="D51" s="18"/>
      <c r="F51" s="183" t="s">
        <v>101</v>
      </c>
      <c r="G51" s="175"/>
      <c r="H51" s="175"/>
      <c r="I51" s="175"/>
      <c r="J51" s="175"/>
      <c r="K51" s="175"/>
      <c r="L51" s="175"/>
      <c r="M51" s="175"/>
      <c r="N51" s="176"/>
      <c r="O51" s="153"/>
      <c r="P51"/>
      <c r="Q51"/>
      <c r="R51"/>
      <c r="S51"/>
    </row>
    <row r="52" spans="1:19" ht="11.25" customHeight="1" x14ac:dyDescent="0.2">
      <c r="A52" s="16"/>
      <c r="B52" s="17"/>
      <c r="C52" s="18"/>
      <c r="D52" s="18"/>
      <c r="F52" s="79" t="s">
        <v>105</v>
      </c>
      <c r="G52" s="80"/>
      <c r="H52" s="80"/>
      <c r="I52" s="80"/>
      <c r="J52" s="80"/>
      <c r="K52" s="130"/>
      <c r="L52" s="130"/>
      <c r="M52" s="130"/>
      <c r="N52" s="166"/>
      <c r="O52" s="153"/>
      <c r="P52"/>
      <c r="Q52"/>
      <c r="R52"/>
      <c r="S52"/>
    </row>
    <row r="53" spans="1:19" ht="12" customHeight="1" thickBot="1" x14ac:dyDescent="0.25">
      <c r="A53" s="16"/>
      <c r="B53" s="17"/>
      <c r="C53" s="18"/>
      <c r="D53" s="18"/>
      <c r="F53" s="186" t="s">
        <v>38</v>
      </c>
      <c r="G53" s="177"/>
      <c r="H53" s="178"/>
      <c r="I53" s="178"/>
      <c r="J53" s="178"/>
      <c r="K53" s="170"/>
      <c r="L53" s="170"/>
      <c r="M53" s="170"/>
      <c r="N53" s="171"/>
      <c r="O53" s="153"/>
      <c r="P53"/>
      <c r="Q53"/>
      <c r="R53"/>
      <c r="S53"/>
    </row>
    <row r="54" spans="1:19" ht="11.25" customHeight="1" x14ac:dyDescent="0.2">
      <c r="A54" s="16"/>
      <c r="B54" s="17"/>
      <c r="C54" s="18"/>
      <c r="D54" s="18"/>
      <c r="E54" s="53"/>
      <c r="F54" s="53"/>
      <c r="G54" s="53"/>
      <c r="H54" s="53"/>
      <c r="I54" s="53"/>
      <c r="J54" s="53"/>
      <c r="K54" s="12"/>
      <c r="L54" s="12"/>
      <c r="M54" s="12"/>
      <c r="N54" s="15"/>
      <c r="O54" s="153"/>
      <c r="P54"/>
      <c r="Q54"/>
      <c r="R54"/>
      <c r="S54"/>
    </row>
    <row r="55" spans="1:19" ht="11.25" customHeight="1" thickBot="1" x14ac:dyDescent="0.25">
      <c r="B55" s="252"/>
      <c r="C55" s="253"/>
      <c r="D55" s="253"/>
      <c r="E55" s="253"/>
      <c r="F55" s="253"/>
      <c r="G55" s="253"/>
      <c r="H55" s="253"/>
      <c r="I55" s="253"/>
      <c r="J55" s="253"/>
      <c r="K55" s="55"/>
      <c r="L55" s="55"/>
      <c r="M55" s="55"/>
      <c r="N55" s="56"/>
      <c r="O55" s="153"/>
      <c r="P55"/>
      <c r="Q55"/>
      <c r="R55"/>
      <c r="S55"/>
    </row>
    <row r="56" spans="1:19" x14ac:dyDescent="0.2">
      <c r="O56" s="153"/>
      <c r="P56"/>
      <c r="Q56"/>
      <c r="R56"/>
      <c r="S56"/>
    </row>
  </sheetData>
  <sheetProtection password="CE5A" sheet="1" objects="1" scenarios="1"/>
  <mergeCells count="22">
    <mergeCell ref="E24:N24"/>
    <mergeCell ref="E27:N27"/>
    <mergeCell ref="E28:N28"/>
    <mergeCell ref="B30:J30"/>
    <mergeCell ref="E25:N25"/>
    <mergeCell ref="E26:N26"/>
    <mergeCell ref="H13:N13"/>
    <mergeCell ref="H38:N38"/>
    <mergeCell ref="B55:J55"/>
    <mergeCell ref="B32:C32"/>
    <mergeCell ref="G33:G35"/>
    <mergeCell ref="I33:M33"/>
    <mergeCell ref="H37:N37"/>
    <mergeCell ref="E5:G5"/>
    <mergeCell ref="I8:M8"/>
    <mergeCell ref="H12:N12"/>
    <mergeCell ref="B2:N2"/>
    <mergeCell ref="B3:N3"/>
    <mergeCell ref="B7:C7"/>
    <mergeCell ref="H5:K5"/>
    <mergeCell ref="L5:N5"/>
    <mergeCell ref="G8:G10"/>
  </mergeCells>
  <phoneticPr fontId="15" type="noConversion"/>
  <conditionalFormatting sqref="H40:H48">
    <cfRule type="cellIs" dxfId="301" priority="1" stopIfTrue="1" operator="between">
      <formula>MAX($H$40:$H$48)-0.5</formula>
      <formula>MAX($H$40:$H$48)+0.5</formula>
    </cfRule>
    <cfRule type="cellIs" dxfId="300" priority="2" stopIfTrue="1" operator="between">
      <formula>MAX($H$40:$H$48)-0.5</formula>
      <formula>MAX($H$40:$H$48)-1.5</formula>
    </cfRule>
    <cfRule type="cellIs" dxfId="299" priority="3" stopIfTrue="1" operator="between">
      <formula>MAX($H$40:$H$48+0.5)</formula>
      <formula>MAX($H$40:$H$48)+1.5</formula>
    </cfRule>
  </conditionalFormatting>
  <conditionalFormatting sqref="I40:I48">
    <cfRule type="cellIs" dxfId="298" priority="4" stopIfTrue="1" operator="between">
      <formula>MAX($I$40:$I$55)-0.5</formula>
      <formula>MAX($I$40:$I$55)+0.5</formula>
    </cfRule>
    <cfRule type="cellIs" dxfId="297" priority="5" stopIfTrue="1" operator="between">
      <formula>MAX($I$40:$I$55)-0.5</formula>
      <formula>MAX($I$40:$I$55)-1.5</formula>
    </cfRule>
    <cfRule type="cellIs" dxfId="296" priority="6" stopIfTrue="1" operator="between">
      <formula>MAX($I$40:$I$55)+0.5</formula>
      <formula>MAX($I$40:$I$55)+1.5</formula>
    </cfRule>
  </conditionalFormatting>
  <conditionalFormatting sqref="J40:J48">
    <cfRule type="cellIs" dxfId="295" priority="7" stopIfTrue="1" operator="between">
      <formula>MAX($J$40:$J$55)-0.5</formula>
      <formula>MAX($J$40:$J$55)+0.5</formula>
    </cfRule>
    <cfRule type="cellIs" dxfId="294" priority="8" stopIfTrue="1" operator="between">
      <formula>MAX($J$40:$J$55)-0.5</formula>
      <formula>MAX($J$40:$J$55)-1.5</formula>
    </cfRule>
    <cfRule type="cellIs" dxfId="293" priority="9" stopIfTrue="1" operator="between">
      <formula>MAX($J$40:$J$55)+0.5</formula>
      <formula>MAX($J$40:$J$55)+1.5</formula>
    </cfRule>
  </conditionalFormatting>
  <conditionalFormatting sqref="K40:K48">
    <cfRule type="cellIs" dxfId="292" priority="10" stopIfTrue="1" operator="between">
      <formula>MAX($K$40:$K$55)-0.5</formula>
      <formula>MAX($K$40:$K$55)+0.5</formula>
    </cfRule>
    <cfRule type="cellIs" dxfId="291" priority="11" stopIfTrue="1" operator="between">
      <formula>MAX($K$40:$K$55)-0.5</formula>
      <formula>MAX($K$40:$K$55)-1.5</formula>
    </cfRule>
    <cfRule type="cellIs" dxfId="290" priority="12" stopIfTrue="1" operator="between">
      <formula>MAX($K$40:$K$55)+0.5</formula>
      <formula>MAX($K$40:$K$55)+1.5</formula>
    </cfRule>
  </conditionalFormatting>
  <conditionalFormatting sqref="L40:L48">
    <cfRule type="cellIs" dxfId="289" priority="13" stopIfTrue="1" operator="between">
      <formula>MAX($L$40:$L$55)-0.5</formula>
      <formula>MAX($L$40:$L$55)+0.5</formula>
    </cfRule>
    <cfRule type="cellIs" dxfId="288" priority="14" stopIfTrue="1" operator="between">
      <formula>MAX($L$40:$L$55)-0.5</formula>
      <formula>MAX($L$40:$L$55)-1.5</formula>
    </cfRule>
    <cfRule type="cellIs" dxfId="287" priority="15" stopIfTrue="1" operator="between">
      <formula>MAX($L$40:$L$55)+0.5</formula>
      <formula>MAX($L$40:$L$55)+1.5</formula>
    </cfRule>
  </conditionalFormatting>
  <conditionalFormatting sqref="M40:M48">
    <cfRule type="cellIs" dxfId="286" priority="16" stopIfTrue="1" operator="between">
      <formula>MAX($M$40:$M$55)-0.5</formula>
      <formula>MAX($M$40:$M$55)+0.5</formula>
    </cfRule>
    <cfRule type="cellIs" dxfId="285" priority="17" stopIfTrue="1" operator="between">
      <formula>MAX($M$40:$M$55)-0.5</formula>
      <formula>MAX($M$40:$M$55)-1.5</formula>
    </cfRule>
    <cfRule type="cellIs" dxfId="284" priority="18" stopIfTrue="1" operator="between">
      <formula>MAX($M$40:$M$55)+0.5</formula>
      <formula>MAX($M$40:$M$55)+1.5</formula>
    </cfRule>
  </conditionalFormatting>
  <conditionalFormatting sqref="N40:N48">
    <cfRule type="cellIs" dxfId="283" priority="19" stopIfTrue="1" operator="between">
      <formula>MAX($N$40:$N$55)-0.5</formula>
      <formula>MAX($N$40:$N$55)+0.5</formula>
    </cfRule>
    <cfRule type="cellIs" dxfId="282" priority="20" stopIfTrue="1" operator="between">
      <formula>MAX($N$40:$N$55)-0.5</formula>
      <formula>MAX($N$40:$N$55)-1.5</formula>
    </cfRule>
    <cfRule type="cellIs" dxfId="281" priority="21" stopIfTrue="1" operator="between">
      <formula>MAX($N$40:$N$55)+0.5</formula>
      <formula>MAX($N$40:$N$55)+1.5</formula>
    </cfRule>
  </conditionalFormatting>
  <conditionalFormatting sqref="I15:I23">
    <cfRule type="cellIs" dxfId="280" priority="22" stopIfTrue="1" operator="between">
      <formula>MAX($I$15:$I$23)-0.5</formula>
      <formula>MAX($I$15:$I$23)+0.5</formula>
    </cfRule>
    <cfRule type="cellIs" dxfId="279" priority="23" stopIfTrue="1" operator="between">
      <formula>MAX($I$15:$I$23)-0.5</formula>
      <formula>MAX($I$15:$I$23)-1.5</formula>
    </cfRule>
    <cfRule type="cellIs" dxfId="278" priority="24" stopIfTrue="1" operator="between">
      <formula>MAX($I$15:$I$23)+0.5</formula>
      <formula>MAX($I$15:$I$23)+1.5</formula>
    </cfRule>
  </conditionalFormatting>
  <conditionalFormatting sqref="J15:J23">
    <cfRule type="cellIs" dxfId="277" priority="25" stopIfTrue="1" operator="between">
      <formula>MAX($J$15:$J$23)-0.5</formula>
      <formula>MAX($J$15:$J$23)+0.5</formula>
    </cfRule>
    <cfRule type="cellIs" dxfId="276" priority="26" stopIfTrue="1" operator="between">
      <formula>MAX($J$15:$J$23)-0.5</formula>
      <formula>MAX($J$15:$J$23)-1.5</formula>
    </cfRule>
    <cfRule type="cellIs" dxfId="275" priority="27" stopIfTrue="1" operator="between">
      <formula>MAX($J$15:$J$23)+0.5</formula>
      <formula>MAX($J$15:$J$23)+1.5</formula>
    </cfRule>
  </conditionalFormatting>
  <conditionalFormatting sqref="K15:K23">
    <cfRule type="cellIs" dxfId="274" priority="28" stopIfTrue="1" operator="between">
      <formula>MAX($K$15:$K$23)-0.5</formula>
      <formula>MAX($K$15:$K$23)+0.5</formula>
    </cfRule>
    <cfRule type="cellIs" dxfId="273" priority="29" stopIfTrue="1" operator="between">
      <formula>MAX($K$15:$K$23)-0.5</formula>
      <formula>MAX($K$15:$K$23)-1.5</formula>
    </cfRule>
    <cfRule type="cellIs" dxfId="272" priority="30" stopIfTrue="1" operator="between">
      <formula>MAX($K$15:$K$23)+0.5</formula>
      <formula>MAX($K$15:$K$23)+1.5</formula>
    </cfRule>
  </conditionalFormatting>
  <conditionalFormatting sqref="L15:L23">
    <cfRule type="cellIs" dxfId="271" priority="31" stopIfTrue="1" operator="between">
      <formula>MAX($L$15:$L$23)-0.5</formula>
      <formula>MAX($L$15:$L$23)+0.5</formula>
    </cfRule>
    <cfRule type="cellIs" dxfId="270" priority="32" stopIfTrue="1" operator="between">
      <formula>MAX($L$15:$L$23)-0.5</formula>
      <formula>MAX($L$15:$L$23)-1.5</formula>
    </cfRule>
    <cfRule type="cellIs" dxfId="269" priority="33" stopIfTrue="1" operator="between">
      <formula>MAX($L$15:$L$23+0.5)</formula>
      <formula>MAX($L$15:$L$23)+1.5</formula>
    </cfRule>
  </conditionalFormatting>
  <conditionalFormatting sqref="M15:M23">
    <cfRule type="cellIs" dxfId="268" priority="34" stopIfTrue="1" operator="between">
      <formula>MAX($M$15:$M$23)-0.5</formula>
      <formula>":$M$23)+0.5"</formula>
    </cfRule>
    <cfRule type="cellIs" dxfId="267" priority="35" stopIfTrue="1" operator="between">
      <formula>MAX($M$15:$M$23)-0.5</formula>
      <formula>MAX($M$15:$M$23)-1.5</formula>
    </cfRule>
    <cfRule type="cellIs" dxfId="266" priority="36" stopIfTrue="1" operator="between">
      <formula>MAX($M$15:$M$23)+0.5</formula>
      <formula>MAX($M$15:$M$23)+1.5</formula>
    </cfRule>
  </conditionalFormatting>
  <conditionalFormatting sqref="N15:N23">
    <cfRule type="cellIs" dxfId="265" priority="37" stopIfTrue="1" operator="between">
      <formula>MAX($N$15:$N$23)-0.5</formula>
      <formula>MAX($N$15:$N$23)+0.5</formula>
    </cfRule>
    <cfRule type="cellIs" dxfId="264" priority="38" stopIfTrue="1" operator="between">
      <formula>MAX($N$15:$N$23)-0.5</formula>
      <formula>MAX($N$15:$N$23)-1.5</formula>
    </cfRule>
    <cfRule type="cellIs" dxfId="263" priority="39" stopIfTrue="1" operator="between">
      <formula>MAX($N$15:$N$23)+0.5</formula>
      <formula>MAX($N$15:$N$23)+1.5</formula>
    </cfRule>
  </conditionalFormatting>
  <conditionalFormatting sqref="H15:H23">
    <cfRule type="cellIs" dxfId="262" priority="40" stopIfTrue="1" operator="between">
      <formula>MAX($H$15:$H$23)-0.5</formula>
      <formula>MAX($H$15:$H$23)+0.5</formula>
    </cfRule>
    <cfRule type="cellIs" dxfId="261" priority="41" stopIfTrue="1" operator="between">
      <formula>MAX($H$15:$H$23)-1.5</formula>
      <formula>MAX($H$15:$H$23)-0.5</formula>
    </cfRule>
    <cfRule type="cellIs" dxfId="260" priority="42" stopIfTrue="1" operator="between">
      <formula>MAX($H$15:$H$23)+0.5</formula>
      <formula>MAX($H$15:$H$23)+1.5</formula>
    </cfRule>
  </conditionalFormatting>
  <hyperlinks>
    <hyperlink ref="E5:G5" location="'Barley (Arid) MR'!A1" display="Go to Marginal Revenue Chart"/>
    <hyperlink ref="H5:J5" location="'Barley (Arid) Fertilizer'!A1" display="Go to Fertilizer Rate as variable"/>
    <hyperlink ref="L5" location="'Data Entry'!A1" display="Return to Data Entry"/>
    <hyperlink ref="G33" location="'Wheat crop price'!D47" display="Go to Total Net Return"/>
    <hyperlink ref="G33:G35" location="'Barley (Arid) Crop'!D1" display="Return to Net Return"/>
    <hyperlink ref="G8" location="'Wheat crop price'!D47" display="Go to Total Net Return"/>
    <hyperlink ref="G8:G10" location="'Barley (Arid) Crop'!D53" display="Go to Total Net Return Below"/>
  </hyperlinks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showGridLines="0" workbookViewId="0">
      <selection activeCell="F18" sqref="F18"/>
    </sheetView>
  </sheetViews>
  <sheetFormatPr defaultRowHeight="12.75" x14ac:dyDescent="0.2"/>
  <cols>
    <col min="1" max="1" width="1.5703125" style="10" customWidth="1"/>
    <col min="2" max="2" width="16.5703125" style="10" customWidth="1"/>
    <col min="3" max="6" width="9.140625" style="10"/>
    <col min="7" max="7" width="13.5703125" style="10" customWidth="1"/>
    <col min="8" max="14" width="9.140625" style="10"/>
    <col min="15" max="15" width="13.85546875" style="154" customWidth="1"/>
    <col min="16" max="16" width="9.85546875" style="10" customWidth="1"/>
    <col min="17" max="16384" width="9.140625" style="10"/>
  </cols>
  <sheetData>
    <row r="1" spans="1:19" ht="6" customHeight="1" thickBot="1" x14ac:dyDescent="0.25">
      <c r="B1" s="11"/>
      <c r="C1" s="11"/>
      <c r="D1" s="11"/>
      <c r="E1" s="11"/>
      <c r="F1" s="11"/>
      <c r="G1" s="11"/>
      <c r="H1" s="11"/>
      <c r="I1" s="11"/>
      <c r="J1" s="11"/>
    </row>
    <row r="2" spans="1:19" ht="20.25" x14ac:dyDescent="0.3">
      <c r="A2" s="11"/>
      <c r="B2" s="234" t="s">
        <v>40</v>
      </c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6"/>
    </row>
    <row r="3" spans="1:19" ht="20.25" x14ac:dyDescent="0.3">
      <c r="A3" s="11"/>
      <c r="B3" s="237" t="s">
        <v>65</v>
      </c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9"/>
    </row>
    <row r="4" spans="1:19" ht="6.75" customHeight="1" x14ac:dyDescent="0.3">
      <c r="A4" s="11"/>
      <c r="B4" s="13"/>
      <c r="C4" s="14"/>
      <c r="D4" s="14"/>
      <c r="E4" s="14"/>
      <c r="F4" s="14"/>
      <c r="G4" s="14"/>
      <c r="H4" s="14"/>
      <c r="I4" s="14"/>
      <c r="J4" s="14"/>
      <c r="K4" s="12"/>
      <c r="L4" s="12"/>
      <c r="M4" s="12"/>
      <c r="N4" s="15"/>
      <c r="O4" s="159"/>
      <c r="P4" s="158"/>
      <c r="Q4" s="158"/>
    </row>
    <row r="5" spans="1:19" x14ac:dyDescent="0.2">
      <c r="B5" s="198"/>
      <c r="C5" s="199"/>
      <c r="D5" s="199"/>
      <c r="E5" s="233" t="s">
        <v>110</v>
      </c>
      <c r="F5" s="233"/>
      <c r="G5" s="233"/>
      <c r="H5" s="233" t="s">
        <v>119</v>
      </c>
      <c r="I5" s="286"/>
      <c r="J5" s="286"/>
      <c r="K5" s="286"/>
      <c r="L5" s="245" t="s">
        <v>96</v>
      </c>
      <c r="M5" s="244"/>
      <c r="N5" s="246"/>
      <c r="P5" s="158"/>
      <c r="Q5" s="158"/>
    </row>
    <row r="6" spans="1:19" ht="4.5" customHeight="1" thickBot="1" x14ac:dyDescent="0.25">
      <c r="A6" s="16"/>
      <c r="B6" s="17"/>
      <c r="C6" s="18"/>
      <c r="D6" s="18"/>
      <c r="E6" s="18"/>
      <c r="F6" s="18"/>
      <c r="G6" s="18"/>
      <c r="H6" s="18"/>
      <c r="I6" s="18"/>
      <c r="J6" s="18"/>
      <c r="K6" s="12"/>
      <c r="L6" s="12"/>
      <c r="M6" s="12"/>
      <c r="N6" s="15"/>
      <c r="O6" s="159"/>
      <c r="P6" s="158"/>
      <c r="Q6" s="158"/>
    </row>
    <row r="7" spans="1:19" ht="15.75" customHeight="1" thickBot="1" x14ac:dyDescent="0.3">
      <c r="A7" s="16"/>
      <c r="B7" s="240" t="s">
        <v>39</v>
      </c>
      <c r="C7" s="241"/>
      <c r="D7" s="18"/>
      <c r="E7" s="18"/>
      <c r="F7" s="18"/>
      <c r="G7" s="18"/>
      <c r="H7" s="18"/>
      <c r="I7" s="19"/>
      <c r="J7" s="18"/>
      <c r="K7" s="19"/>
      <c r="L7" s="12"/>
      <c r="M7" s="12"/>
      <c r="N7" s="15"/>
      <c r="O7" s="159"/>
      <c r="P7" s="158"/>
      <c r="Q7" s="158"/>
    </row>
    <row r="8" spans="1:19" ht="15" customHeight="1" x14ac:dyDescent="0.25">
      <c r="A8" s="16"/>
      <c r="B8" s="87" t="s">
        <v>1</v>
      </c>
      <c r="C8" s="21" t="str">
        <f>'Data Entry'!C7</f>
        <v>UREA</v>
      </c>
      <c r="D8" s="18"/>
      <c r="E8" s="22"/>
      <c r="F8" s="23"/>
      <c r="G8" s="231" t="s">
        <v>100</v>
      </c>
      <c r="H8" s="23"/>
      <c r="I8" s="274" t="s">
        <v>26</v>
      </c>
      <c r="J8" s="275"/>
      <c r="K8" s="275"/>
      <c r="L8" s="275"/>
      <c r="M8" s="275"/>
      <c r="N8" s="24"/>
      <c r="O8" s="155"/>
    </row>
    <row r="9" spans="1:19" ht="15" x14ac:dyDescent="0.2">
      <c r="A9" s="16"/>
      <c r="B9" s="20" t="s">
        <v>3</v>
      </c>
      <c r="C9" s="59">
        <f>'Data Entry'!C8</f>
        <v>700</v>
      </c>
      <c r="D9" s="18"/>
      <c r="E9" s="17"/>
      <c r="F9" s="18"/>
      <c r="G9" s="232"/>
      <c r="H9" s="18"/>
      <c r="I9" s="19"/>
      <c r="J9" s="18"/>
      <c r="K9" s="19"/>
      <c r="L9" s="12"/>
      <c r="M9" s="12"/>
      <c r="N9" s="15"/>
      <c r="O9" s="155"/>
    </row>
    <row r="10" spans="1:19" ht="15" x14ac:dyDescent="0.25">
      <c r="A10" s="16"/>
      <c r="B10" s="20" t="s">
        <v>4</v>
      </c>
      <c r="C10" s="25">
        <f>'Data Entry'!C9</f>
        <v>46</v>
      </c>
      <c r="D10" s="18"/>
      <c r="E10" s="17"/>
      <c r="F10" s="18"/>
      <c r="G10" s="232"/>
      <c r="H10" s="26">
        <f>K10-C14*3</f>
        <v>7.5</v>
      </c>
      <c r="I10" s="26">
        <f>K10-C14*2</f>
        <v>8</v>
      </c>
      <c r="J10" s="26">
        <f>K10-C14</f>
        <v>8.5</v>
      </c>
      <c r="K10" s="27">
        <f>'Data Entry'!F16</f>
        <v>9</v>
      </c>
      <c r="L10" s="26">
        <f>K10+C14</f>
        <v>9.5</v>
      </c>
      <c r="M10" s="26">
        <f>K10+C14*2</f>
        <v>10</v>
      </c>
      <c r="N10" s="28">
        <f>K10+C14*3</f>
        <v>10.5</v>
      </c>
      <c r="O10" s="155"/>
    </row>
    <row r="11" spans="1:19" ht="15" x14ac:dyDescent="0.25">
      <c r="A11" s="16"/>
      <c r="B11" s="20" t="s">
        <v>5</v>
      </c>
      <c r="C11" s="61">
        <f>(C9/((C10/100)*2200))</f>
        <v>0.69169960474308301</v>
      </c>
      <c r="D11" s="18"/>
      <c r="E11" s="17"/>
      <c r="F11" s="18"/>
      <c r="G11" s="29" t="s">
        <v>6</v>
      </c>
      <c r="H11" s="18"/>
      <c r="I11" s="18"/>
      <c r="J11" s="18"/>
      <c r="K11" s="12"/>
      <c r="L11" s="12"/>
      <c r="M11" s="12"/>
      <c r="N11" s="15"/>
      <c r="O11" s="153"/>
      <c r="P11"/>
      <c r="Q11"/>
      <c r="R11"/>
      <c r="S11"/>
    </row>
    <row r="12" spans="1:19" ht="15" x14ac:dyDescent="0.25">
      <c r="A12" s="16"/>
      <c r="B12" s="30" t="s">
        <v>20</v>
      </c>
      <c r="C12" s="31">
        <f>'Data Entry'!C11</f>
        <v>10</v>
      </c>
      <c r="D12" s="18"/>
      <c r="E12" s="32"/>
      <c r="F12" s="29" t="s">
        <v>67</v>
      </c>
      <c r="G12" s="29" t="s">
        <v>7</v>
      </c>
      <c r="H12" s="269" t="s">
        <v>8</v>
      </c>
      <c r="I12" s="269"/>
      <c r="J12" s="269"/>
      <c r="K12" s="269"/>
      <c r="L12" s="269"/>
      <c r="M12" s="269"/>
      <c r="N12" s="270"/>
      <c r="O12" s="153"/>
      <c r="P12"/>
      <c r="Q12"/>
      <c r="R12"/>
      <c r="S12"/>
    </row>
    <row r="13" spans="1:19" ht="15.75" thickBot="1" x14ac:dyDescent="0.3">
      <c r="A13" s="16"/>
      <c r="B13" s="33" t="s">
        <v>106</v>
      </c>
      <c r="C13" s="34"/>
      <c r="D13" s="18"/>
      <c r="E13" s="35" t="s">
        <v>9</v>
      </c>
      <c r="F13" s="36" t="s">
        <v>68</v>
      </c>
      <c r="G13" s="36" t="s">
        <v>10</v>
      </c>
      <c r="H13" s="247" t="s">
        <v>15</v>
      </c>
      <c r="I13" s="247"/>
      <c r="J13" s="247"/>
      <c r="K13" s="247"/>
      <c r="L13" s="247"/>
      <c r="M13" s="247"/>
      <c r="N13" s="248"/>
      <c r="O13" s="165"/>
      <c r="P13"/>
      <c r="Q13"/>
      <c r="R13"/>
      <c r="S13"/>
    </row>
    <row r="14" spans="1:19" ht="15" x14ac:dyDescent="0.25">
      <c r="A14" s="16"/>
      <c r="B14" s="37" t="s">
        <v>108</v>
      </c>
      <c r="C14" s="38">
        <f>'Data Entry'!C13</f>
        <v>0.5</v>
      </c>
      <c r="D14" s="18"/>
      <c r="E14" s="39" t="s">
        <v>11</v>
      </c>
      <c r="F14" s="40" t="s">
        <v>12</v>
      </c>
      <c r="G14" s="40" t="s">
        <v>12</v>
      </c>
      <c r="H14" s="41">
        <f>H10/$C$11</f>
        <v>10.842857142857143</v>
      </c>
      <c r="I14" s="41">
        <f t="shared" ref="I14:N14" si="0">I10/$C$11</f>
        <v>11.565714285714286</v>
      </c>
      <c r="J14" s="41">
        <f t="shared" si="0"/>
        <v>12.288571428571428</v>
      </c>
      <c r="K14" s="41">
        <f>K10/$C$11</f>
        <v>13.011428571428571</v>
      </c>
      <c r="L14" s="41">
        <f t="shared" si="0"/>
        <v>13.734285714285715</v>
      </c>
      <c r="M14" s="41">
        <f t="shared" si="0"/>
        <v>14.457142857142857</v>
      </c>
      <c r="N14" s="42">
        <f t="shared" si="0"/>
        <v>15.18</v>
      </c>
      <c r="O14" s="153"/>
      <c r="P14"/>
      <c r="Q14"/>
      <c r="R14"/>
      <c r="S14"/>
    </row>
    <row r="15" spans="1:19" ht="15" x14ac:dyDescent="0.25">
      <c r="A15" s="16"/>
      <c r="B15" s="43" t="s">
        <v>28</v>
      </c>
      <c r="C15" s="34"/>
      <c r="D15" s="18"/>
      <c r="E15" s="44">
        <f>IF((E19-4*$C$12)&lt;0,0,(E19-4*$C$12))</f>
        <v>30</v>
      </c>
      <c r="F15" s="126">
        <f>G15+(-0.0009*($C$16)^2+0.2797*($C$16))+18.343</f>
        <v>31.884999999999998</v>
      </c>
      <c r="G15" s="126">
        <f>IF(((-0.0009*(E15+$C$16)^2+0.2797*(E15+$C$16))-(-0.0009*($C$16)^2+0.2797*($C$16)))&lt;0,0,(-0.0009*(E15+$C$16)^2+0.2797*(E15+$C$16))-(-0.0009*($C$16)^2+0.2797*($C$16)))</f>
        <v>5.9609999999999994</v>
      </c>
      <c r="H15" s="135">
        <f t="shared" ref="H15:N23" si="1">(H$10*$G15)-($C$11*($E15))</f>
        <v>23.956511857707504</v>
      </c>
      <c r="I15" s="135">
        <f t="shared" si="1"/>
        <v>26.937011857707503</v>
      </c>
      <c r="J15" s="135">
        <f t="shared" si="1"/>
        <v>29.917511857707503</v>
      </c>
      <c r="K15" s="135">
        <f t="shared" si="1"/>
        <v>32.898011857707502</v>
      </c>
      <c r="L15" s="135">
        <f t="shared" si="1"/>
        <v>35.878511857707501</v>
      </c>
      <c r="M15" s="135">
        <f t="shared" si="1"/>
        <v>38.8590118577075</v>
      </c>
      <c r="N15" s="136">
        <f t="shared" si="1"/>
        <v>41.8395118577075</v>
      </c>
      <c r="O15" s="153"/>
      <c r="P15"/>
      <c r="Q15"/>
      <c r="R15"/>
      <c r="S15"/>
    </row>
    <row r="16" spans="1:19" ht="15" x14ac:dyDescent="0.25">
      <c r="A16" s="16"/>
      <c r="B16" s="37" t="s">
        <v>29</v>
      </c>
      <c r="C16" s="45">
        <f>'Data Entry'!C15</f>
        <v>30</v>
      </c>
      <c r="D16" s="18"/>
      <c r="E16" s="44">
        <f>IF((E20-4*$C$12)&lt;0,0,(E20-4*$C$12))</f>
        <v>40</v>
      </c>
      <c r="F16" s="126">
        <f t="shared" ref="F16:F23" si="2">G16+(-0.0009*($C$16)^2+0.2797*($C$16))+18.343</f>
        <v>33.512</v>
      </c>
      <c r="G16" s="126">
        <f t="shared" ref="G16:G23" si="3">IF(((-0.0009*(E16+$C$16)^2+0.2797*(E16+$C$16))-(-0.0009*($C$16)^2+0.2797*($C$16)))&lt;0,0,(-0.0009*(E16+$C$16)^2+0.2797*(E16+$C$16))-(-0.0009*($C$16)^2+0.2797*($C$16)))</f>
        <v>7.5880000000000001</v>
      </c>
      <c r="H16" s="135">
        <f t="shared" si="1"/>
        <v>29.242015810276683</v>
      </c>
      <c r="I16" s="135">
        <f t="shared" si="1"/>
        <v>33.03601581027668</v>
      </c>
      <c r="J16" s="135">
        <f t="shared" si="1"/>
        <v>36.830015810276684</v>
      </c>
      <c r="K16" s="135">
        <f t="shared" si="1"/>
        <v>40.624015810276681</v>
      </c>
      <c r="L16" s="135">
        <f t="shared" si="1"/>
        <v>44.418015810276678</v>
      </c>
      <c r="M16" s="135">
        <f t="shared" si="1"/>
        <v>48.212015810276675</v>
      </c>
      <c r="N16" s="136">
        <f t="shared" si="1"/>
        <v>52.006015810276686</v>
      </c>
      <c r="O16" s="153"/>
      <c r="P16"/>
      <c r="Q16"/>
      <c r="R16"/>
      <c r="S16"/>
    </row>
    <row r="17" spans="1:19" ht="15" x14ac:dyDescent="0.25">
      <c r="A17" s="16"/>
      <c r="B17" s="43" t="s">
        <v>30</v>
      </c>
      <c r="C17" s="46"/>
      <c r="D17" s="18"/>
      <c r="E17" s="44">
        <f>IF((E21-4*$C$12)&lt;0,0,(E21-4*$C$12))</f>
        <v>50</v>
      </c>
      <c r="F17" s="126">
        <f t="shared" si="2"/>
        <v>34.959000000000003</v>
      </c>
      <c r="G17" s="126">
        <f t="shared" si="3"/>
        <v>9.0350000000000001</v>
      </c>
      <c r="H17" s="135">
        <f t="shared" si="1"/>
        <v>33.177519762845854</v>
      </c>
      <c r="I17" s="135">
        <f t="shared" si="1"/>
        <v>37.695019762845853</v>
      </c>
      <c r="J17" s="135">
        <f t="shared" si="1"/>
        <v>42.212519762845851</v>
      </c>
      <c r="K17" s="135">
        <f t="shared" si="1"/>
        <v>46.730019762845849</v>
      </c>
      <c r="L17" s="135">
        <f t="shared" si="1"/>
        <v>51.247519762845847</v>
      </c>
      <c r="M17" s="135">
        <f t="shared" si="1"/>
        <v>55.765019762845846</v>
      </c>
      <c r="N17" s="136">
        <f t="shared" si="1"/>
        <v>60.282519762845858</v>
      </c>
      <c r="O17" s="153"/>
      <c r="P17"/>
      <c r="Q17"/>
      <c r="R17"/>
      <c r="S17"/>
    </row>
    <row r="18" spans="1:19" ht="15.75" thickBot="1" x14ac:dyDescent="0.3">
      <c r="A18" s="16"/>
      <c r="B18" s="17"/>
      <c r="C18" s="18"/>
      <c r="D18" s="18"/>
      <c r="E18" s="44">
        <f>IF((E22-4*$C$12)&lt;0,0,(E22-4*$C$12))</f>
        <v>60</v>
      </c>
      <c r="F18" s="126">
        <f t="shared" si="2"/>
        <v>36.225999999999999</v>
      </c>
      <c r="G18" s="126">
        <f t="shared" si="3"/>
        <v>10.302000000000003</v>
      </c>
      <c r="H18" s="135">
        <f t="shared" si="1"/>
        <v>35.763023715415045</v>
      </c>
      <c r="I18" s="135">
        <f t="shared" si="1"/>
        <v>40.914023715415041</v>
      </c>
      <c r="J18" s="135">
        <f t="shared" si="1"/>
        <v>46.065023715415037</v>
      </c>
      <c r="K18" s="135">
        <f t="shared" si="1"/>
        <v>51.216023715415048</v>
      </c>
      <c r="L18" s="135">
        <f t="shared" si="1"/>
        <v>56.367023715415044</v>
      </c>
      <c r="M18" s="135">
        <f t="shared" si="1"/>
        <v>61.518023715415055</v>
      </c>
      <c r="N18" s="136">
        <f t="shared" si="1"/>
        <v>66.669023715415051</v>
      </c>
      <c r="O18" s="153"/>
      <c r="P18"/>
      <c r="Q18"/>
      <c r="R18"/>
      <c r="S18"/>
    </row>
    <row r="19" spans="1:19" ht="15.75" thickBot="1" x14ac:dyDescent="0.3">
      <c r="A19" s="16"/>
      <c r="B19" s="54"/>
      <c r="C19" s="48"/>
      <c r="D19" s="49" t="s">
        <v>13</v>
      </c>
      <c r="E19" s="50">
        <f>'Data Entry'!F11</f>
        <v>70</v>
      </c>
      <c r="F19" s="126">
        <f t="shared" si="2"/>
        <v>37.313000000000002</v>
      </c>
      <c r="G19" s="126">
        <f t="shared" si="3"/>
        <v>11.388999999999999</v>
      </c>
      <c r="H19" s="135">
        <f t="shared" si="1"/>
        <v>36.998527667984177</v>
      </c>
      <c r="I19" s="135">
        <f t="shared" si="1"/>
        <v>42.693027667984182</v>
      </c>
      <c r="J19" s="135">
        <f t="shared" si="1"/>
        <v>48.387527667984187</v>
      </c>
      <c r="K19" s="135">
        <f t="shared" si="1"/>
        <v>54.082027667984178</v>
      </c>
      <c r="L19" s="135">
        <f t="shared" si="1"/>
        <v>59.776527667984183</v>
      </c>
      <c r="M19" s="135">
        <f t="shared" si="1"/>
        <v>65.471027667984174</v>
      </c>
      <c r="N19" s="136">
        <f t="shared" si="1"/>
        <v>71.165527667984179</v>
      </c>
      <c r="O19" s="153"/>
      <c r="P19"/>
      <c r="Q19"/>
      <c r="R19"/>
      <c r="S19"/>
    </row>
    <row r="20" spans="1:19" ht="15" x14ac:dyDescent="0.25">
      <c r="A20" s="16"/>
      <c r="B20" s="17"/>
      <c r="C20" s="18"/>
      <c r="D20" s="18"/>
      <c r="E20" s="51">
        <f>E19+C12</f>
        <v>80</v>
      </c>
      <c r="F20" s="126">
        <f t="shared" si="2"/>
        <v>38.22</v>
      </c>
      <c r="G20" s="126">
        <f t="shared" si="3"/>
        <v>12.295999999999999</v>
      </c>
      <c r="H20" s="135">
        <f t="shared" si="1"/>
        <v>36.884031620553358</v>
      </c>
      <c r="I20" s="135">
        <f t="shared" si="1"/>
        <v>43.032031620553354</v>
      </c>
      <c r="J20" s="135">
        <f t="shared" si="1"/>
        <v>49.180031620553351</v>
      </c>
      <c r="K20" s="135">
        <f t="shared" si="1"/>
        <v>55.328031620553347</v>
      </c>
      <c r="L20" s="135">
        <f t="shared" si="1"/>
        <v>61.476031620553357</v>
      </c>
      <c r="M20" s="135">
        <f t="shared" si="1"/>
        <v>67.624031620553353</v>
      </c>
      <c r="N20" s="136">
        <f t="shared" si="1"/>
        <v>73.772031620553363</v>
      </c>
      <c r="O20" s="153"/>
      <c r="P20"/>
      <c r="Q20"/>
      <c r="R20"/>
      <c r="S20"/>
    </row>
    <row r="21" spans="1:19" ht="15" x14ac:dyDescent="0.25">
      <c r="A21" s="16"/>
      <c r="B21" s="17"/>
      <c r="C21" s="18"/>
      <c r="D21" s="18"/>
      <c r="E21" s="51">
        <f>E19+2*C12</f>
        <v>90</v>
      </c>
      <c r="F21" s="126">
        <f t="shared" si="2"/>
        <v>38.947000000000003</v>
      </c>
      <c r="G21" s="126">
        <f t="shared" si="3"/>
        <v>13.023</v>
      </c>
      <c r="H21" s="135">
        <f t="shared" si="1"/>
        <v>35.419535573122531</v>
      </c>
      <c r="I21" s="135">
        <f t="shared" si="1"/>
        <v>41.931035573122529</v>
      </c>
      <c r="J21" s="135">
        <f t="shared" si="1"/>
        <v>48.442535573122527</v>
      </c>
      <c r="K21" s="135">
        <f t="shared" si="1"/>
        <v>54.954035573122525</v>
      </c>
      <c r="L21" s="135">
        <f t="shared" si="1"/>
        <v>61.465535573122523</v>
      </c>
      <c r="M21" s="135">
        <f t="shared" si="1"/>
        <v>67.977035573122521</v>
      </c>
      <c r="N21" s="136">
        <f t="shared" si="1"/>
        <v>74.488535573122533</v>
      </c>
      <c r="O21" s="153"/>
      <c r="P21"/>
      <c r="Q21"/>
      <c r="R21"/>
      <c r="S21"/>
    </row>
    <row r="22" spans="1:19" ht="15" x14ac:dyDescent="0.25">
      <c r="A22" s="16"/>
      <c r="B22" s="17"/>
      <c r="C22" s="18"/>
      <c r="D22" s="18"/>
      <c r="E22" s="51">
        <f>E19+3*C12</f>
        <v>100</v>
      </c>
      <c r="F22" s="126">
        <f t="shared" si="2"/>
        <v>39.494</v>
      </c>
      <c r="G22" s="126">
        <f t="shared" si="3"/>
        <v>13.569999999999997</v>
      </c>
      <c r="H22" s="135">
        <f t="shared" si="1"/>
        <v>32.60503952569168</v>
      </c>
      <c r="I22" s="135">
        <f t="shared" si="1"/>
        <v>39.390039525691677</v>
      </c>
      <c r="J22" s="135">
        <f t="shared" si="1"/>
        <v>46.175039525691673</v>
      </c>
      <c r="K22" s="135">
        <f t="shared" si="1"/>
        <v>52.96003952569167</v>
      </c>
      <c r="L22" s="135">
        <f t="shared" si="1"/>
        <v>59.745039525691666</v>
      </c>
      <c r="M22" s="135">
        <f t="shared" si="1"/>
        <v>66.530039525691663</v>
      </c>
      <c r="N22" s="136">
        <f t="shared" si="1"/>
        <v>73.31503952569166</v>
      </c>
      <c r="O22" s="153"/>
      <c r="P22"/>
      <c r="Q22"/>
      <c r="R22"/>
      <c r="S22"/>
    </row>
    <row r="23" spans="1:19" ht="15" x14ac:dyDescent="0.25">
      <c r="A23" s="16"/>
      <c r="B23" s="17"/>
      <c r="C23" s="18"/>
      <c r="D23" s="18"/>
      <c r="E23" s="51">
        <f>E19+4*C12</f>
        <v>110</v>
      </c>
      <c r="F23" s="126">
        <f t="shared" si="2"/>
        <v>39.861000000000004</v>
      </c>
      <c r="G23" s="126">
        <f t="shared" si="3"/>
        <v>13.937000000000001</v>
      </c>
      <c r="H23" s="135">
        <f t="shared" si="1"/>
        <v>28.440543478260878</v>
      </c>
      <c r="I23" s="135">
        <f t="shared" si="1"/>
        <v>35.409043478260884</v>
      </c>
      <c r="J23" s="135">
        <f t="shared" si="1"/>
        <v>42.37754347826089</v>
      </c>
      <c r="K23" s="135">
        <f t="shared" si="1"/>
        <v>49.346043478260881</v>
      </c>
      <c r="L23" s="135">
        <f t="shared" si="1"/>
        <v>56.314543478260873</v>
      </c>
      <c r="M23" s="135">
        <f t="shared" si="1"/>
        <v>63.283043478260879</v>
      </c>
      <c r="N23" s="136">
        <f t="shared" si="1"/>
        <v>70.251543478260885</v>
      </c>
      <c r="O23" s="153"/>
      <c r="P23"/>
      <c r="Q23"/>
      <c r="R23"/>
      <c r="S23"/>
    </row>
    <row r="24" spans="1:19" ht="13.5" customHeight="1" x14ac:dyDescent="0.2">
      <c r="A24" s="16"/>
      <c r="B24" s="17"/>
      <c r="C24" s="18"/>
      <c r="D24" s="18"/>
      <c r="E24" s="271" t="s">
        <v>66</v>
      </c>
      <c r="F24" s="272"/>
      <c r="G24" s="272"/>
      <c r="H24" s="272"/>
      <c r="I24" s="272"/>
      <c r="J24" s="272"/>
      <c r="K24" s="272"/>
      <c r="L24" s="272"/>
      <c r="M24" s="272"/>
      <c r="N24" s="273"/>
      <c r="O24" s="153"/>
      <c r="P24"/>
      <c r="Q24"/>
      <c r="R24"/>
      <c r="S24"/>
    </row>
    <row r="25" spans="1:19" ht="9.75" customHeight="1" x14ac:dyDescent="0.2">
      <c r="A25" s="16"/>
      <c r="B25" s="17"/>
      <c r="C25" s="18"/>
      <c r="D25" s="18"/>
      <c r="E25" s="266" t="s">
        <v>16</v>
      </c>
      <c r="F25" s="267"/>
      <c r="G25" s="267"/>
      <c r="H25" s="267"/>
      <c r="I25" s="267"/>
      <c r="J25" s="267"/>
      <c r="K25" s="267"/>
      <c r="L25" s="267"/>
      <c r="M25" s="267"/>
      <c r="N25" s="268"/>
      <c r="O25" s="153"/>
      <c r="P25"/>
      <c r="Q25"/>
      <c r="R25"/>
      <c r="S25"/>
    </row>
    <row r="26" spans="1:19" ht="9.75" customHeight="1" x14ac:dyDescent="0.2">
      <c r="A26" s="16"/>
      <c r="B26" s="17"/>
      <c r="C26" s="18"/>
      <c r="D26" s="18"/>
      <c r="E26" s="266" t="s">
        <v>27</v>
      </c>
      <c r="F26" s="267"/>
      <c r="G26" s="267"/>
      <c r="H26" s="267"/>
      <c r="I26" s="267"/>
      <c r="J26" s="267"/>
      <c r="K26" s="267"/>
      <c r="L26" s="267"/>
      <c r="M26" s="267"/>
      <c r="N26" s="268"/>
      <c r="O26" s="153"/>
      <c r="P26"/>
      <c r="Q26"/>
      <c r="R26"/>
      <c r="S26"/>
    </row>
    <row r="27" spans="1:19" ht="11.25" customHeight="1" x14ac:dyDescent="0.2">
      <c r="A27" s="16"/>
      <c r="B27" s="17"/>
      <c r="C27" s="18"/>
      <c r="D27" s="18"/>
      <c r="E27" s="262" t="s">
        <v>88</v>
      </c>
      <c r="F27" s="263"/>
      <c r="G27" s="263"/>
      <c r="H27" s="263"/>
      <c r="I27" s="263"/>
      <c r="J27" s="263"/>
      <c r="K27" s="264"/>
      <c r="L27" s="264"/>
      <c r="M27" s="264"/>
      <c r="N27" s="265"/>
      <c r="O27" s="153"/>
      <c r="P27"/>
      <c r="Q27"/>
      <c r="R27"/>
      <c r="S27"/>
    </row>
    <row r="28" spans="1:19" ht="12" customHeight="1" thickBot="1" x14ac:dyDescent="0.25">
      <c r="A28" s="16"/>
      <c r="B28" s="17"/>
      <c r="C28" s="18"/>
      <c r="D28" s="18"/>
      <c r="E28" s="277" t="s">
        <v>38</v>
      </c>
      <c r="F28" s="278"/>
      <c r="G28" s="279"/>
      <c r="H28" s="279"/>
      <c r="I28" s="279"/>
      <c r="J28" s="279"/>
      <c r="K28" s="280"/>
      <c r="L28" s="280"/>
      <c r="M28" s="280"/>
      <c r="N28" s="281"/>
      <c r="O28" s="153"/>
      <c r="P28"/>
      <c r="Q28"/>
      <c r="R28"/>
      <c r="S28"/>
    </row>
    <row r="29" spans="1:19" ht="11.25" customHeight="1" x14ac:dyDescent="0.2">
      <c r="B29" s="17"/>
      <c r="E29" s="267"/>
      <c r="F29" s="267"/>
      <c r="G29" s="267"/>
      <c r="H29" s="267"/>
      <c r="I29" s="267"/>
      <c r="J29" s="267"/>
      <c r="K29" s="267"/>
      <c r="L29" s="267"/>
      <c r="M29" s="267"/>
      <c r="N29" s="268"/>
      <c r="O29" s="153"/>
      <c r="P29"/>
      <c r="Q29"/>
      <c r="R29"/>
      <c r="S29"/>
    </row>
    <row r="30" spans="1:19" ht="9.75" customHeight="1" thickBot="1" x14ac:dyDescent="0.25">
      <c r="B30" s="252"/>
      <c r="C30" s="253"/>
      <c r="D30" s="253"/>
      <c r="E30" s="253"/>
      <c r="F30" s="253"/>
      <c r="G30" s="253"/>
      <c r="H30" s="253"/>
      <c r="I30" s="253"/>
      <c r="J30" s="253"/>
      <c r="K30" s="55"/>
      <c r="L30" s="55"/>
      <c r="M30" s="55"/>
      <c r="N30" s="56"/>
      <c r="O30" s="153"/>
      <c r="P30"/>
      <c r="Q30"/>
      <c r="R30"/>
      <c r="S30"/>
    </row>
    <row r="31" spans="1:19" ht="4.5" customHeight="1" thickBot="1" x14ac:dyDescent="0.25">
      <c r="B31" s="189"/>
      <c r="N31" s="24"/>
      <c r="O31" s="153"/>
      <c r="P31"/>
      <c r="Q31"/>
      <c r="R31"/>
      <c r="S31"/>
    </row>
    <row r="32" spans="1:19" ht="15.75" customHeight="1" thickBot="1" x14ac:dyDescent="0.3">
      <c r="A32" s="16"/>
      <c r="B32" s="240" t="s">
        <v>39</v>
      </c>
      <c r="C32" s="241"/>
      <c r="E32" s="18"/>
      <c r="F32" s="18"/>
      <c r="G32" s="18"/>
      <c r="H32" s="18"/>
      <c r="I32" s="19"/>
      <c r="J32" s="18"/>
      <c r="K32" s="19"/>
      <c r="L32" s="12"/>
      <c r="M32" s="12"/>
      <c r="N32" s="15"/>
      <c r="O32" s="155"/>
    </row>
    <row r="33" spans="1:19" ht="15" customHeight="1" x14ac:dyDescent="0.25">
      <c r="A33" s="16"/>
      <c r="B33" s="87" t="s">
        <v>1</v>
      </c>
      <c r="C33" s="21" t="str">
        <f>'Data Entry'!C7</f>
        <v>UREA</v>
      </c>
      <c r="D33" s="18"/>
      <c r="F33" s="22"/>
      <c r="G33" s="231" t="s">
        <v>102</v>
      </c>
      <c r="H33" s="23"/>
      <c r="I33" s="274" t="s">
        <v>26</v>
      </c>
      <c r="J33" s="275"/>
      <c r="K33" s="275"/>
      <c r="L33" s="275"/>
      <c r="M33" s="275"/>
      <c r="N33" s="24"/>
      <c r="O33" s="155"/>
    </row>
    <row r="34" spans="1:19" ht="15" x14ac:dyDescent="0.2">
      <c r="A34" s="16"/>
      <c r="B34" s="20" t="s">
        <v>3</v>
      </c>
      <c r="C34" s="179">
        <f>'Data Entry'!C8</f>
        <v>700</v>
      </c>
      <c r="D34" s="18"/>
      <c r="F34" s="17"/>
      <c r="G34" s="232"/>
      <c r="H34" s="18"/>
      <c r="I34" s="19"/>
      <c r="J34" s="18"/>
      <c r="K34" s="19"/>
      <c r="L34" s="12"/>
      <c r="M34" s="12"/>
      <c r="N34" s="15"/>
      <c r="O34" s="155"/>
    </row>
    <row r="35" spans="1:19" ht="15" x14ac:dyDescent="0.25">
      <c r="A35" s="16"/>
      <c r="B35" s="20" t="s">
        <v>4</v>
      </c>
      <c r="C35" s="25">
        <f>'Data Entry'!C9</f>
        <v>46</v>
      </c>
      <c r="D35" s="18"/>
      <c r="F35" s="17"/>
      <c r="G35" s="232"/>
      <c r="H35" s="26">
        <f>K35-C39*3</f>
        <v>7.5</v>
      </c>
      <c r="I35" s="26">
        <f>K35-C39*2</f>
        <v>8</v>
      </c>
      <c r="J35" s="26">
        <f>K35-C39</f>
        <v>8.5</v>
      </c>
      <c r="K35" s="27">
        <f>'Data Entry'!F16</f>
        <v>9</v>
      </c>
      <c r="L35" s="26">
        <f>K35+C39</f>
        <v>9.5</v>
      </c>
      <c r="M35" s="26">
        <f>K35+C39*2</f>
        <v>10</v>
      </c>
      <c r="N35" s="28">
        <f>K35+C39*3</f>
        <v>10.5</v>
      </c>
      <c r="O35" s="155"/>
    </row>
    <row r="36" spans="1:19" ht="15" x14ac:dyDescent="0.25">
      <c r="A36" s="16"/>
      <c r="B36" s="20" t="s">
        <v>5</v>
      </c>
      <c r="C36" s="61">
        <f>(C34/((C35/100)*2200))</f>
        <v>0.69169960474308301</v>
      </c>
      <c r="D36" s="18"/>
      <c r="F36" s="17"/>
      <c r="G36" s="29" t="s">
        <v>6</v>
      </c>
      <c r="H36" s="18"/>
      <c r="I36" s="18"/>
      <c r="J36" s="18"/>
      <c r="K36" s="12"/>
      <c r="L36" s="12"/>
      <c r="M36" s="12"/>
      <c r="N36" s="15"/>
      <c r="O36" s="155"/>
    </row>
    <row r="37" spans="1:19" ht="15" x14ac:dyDescent="0.25">
      <c r="A37" s="16"/>
      <c r="B37" s="30" t="s">
        <v>20</v>
      </c>
      <c r="C37" s="31">
        <f>'Data Entry'!C11</f>
        <v>10</v>
      </c>
      <c r="D37" s="18"/>
      <c r="F37" s="32"/>
      <c r="G37" s="70" t="s">
        <v>67</v>
      </c>
      <c r="H37" s="229" t="s">
        <v>112</v>
      </c>
      <c r="I37" s="229"/>
      <c r="J37" s="229"/>
      <c r="K37" s="229"/>
      <c r="L37" s="229"/>
      <c r="M37" s="229"/>
      <c r="N37" s="230"/>
      <c r="O37" s="153"/>
      <c r="P37"/>
      <c r="Q37"/>
      <c r="R37"/>
      <c r="S37"/>
    </row>
    <row r="38" spans="1:19" ht="15.75" thickBot="1" x14ac:dyDescent="0.3">
      <c r="A38" s="16"/>
      <c r="B38" s="33" t="s">
        <v>106</v>
      </c>
      <c r="C38" s="34"/>
      <c r="D38" s="18"/>
      <c r="F38" s="35" t="s">
        <v>9</v>
      </c>
      <c r="G38" s="73" t="s">
        <v>68</v>
      </c>
      <c r="H38" s="247" t="s">
        <v>15</v>
      </c>
      <c r="I38" s="247"/>
      <c r="J38" s="247"/>
      <c r="K38" s="247"/>
      <c r="L38" s="247"/>
      <c r="M38" s="247"/>
      <c r="N38" s="248"/>
      <c r="O38" s="153"/>
      <c r="P38"/>
      <c r="Q38"/>
      <c r="R38"/>
      <c r="S38"/>
    </row>
    <row r="39" spans="1:19" ht="15" x14ac:dyDescent="0.25">
      <c r="A39" s="16"/>
      <c r="B39" s="37" t="s">
        <v>108</v>
      </c>
      <c r="C39" s="57">
        <f>'Data Entry'!C13</f>
        <v>0.5</v>
      </c>
      <c r="D39" s="18"/>
      <c r="F39" s="39" t="s">
        <v>11</v>
      </c>
      <c r="G39" s="75" t="s">
        <v>12</v>
      </c>
      <c r="H39" s="41">
        <f t="shared" ref="H39:N39" si="4">H35/$C$11</f>
        <v>10.842857142857143</v>
      </c>
      <c r="I39" s="41">
        <f t="shared" si="4"/>
        <v>11.565714285714286</v>
      </c>
      <c r="J39" s="41">
        <f t="shared" si="4"/>
        <v>12.288571428571428</v>
      </c>
      <c r="K39" s="41">
        <f t="shared" si="4"/>
        <v>13.011428571428571</v>
      </c>
      <c r="L39" s="41">
        <f t="shared" si="4"/>
        <v>13.734285714285715</v>
      </c>
      <c r="M39" s="41">
        <f t="shared" si="4"/>
        <v>14.457142857142857</v>
      </c>
      <c r="N39" s="42">
        <f t="shared" si="4"/>
        <v>15.18</v>
      </c>
      <c r="O39" s="153"/>
      <c r="P39"/>
      <c r="Q39"/>
      <c r="R39"/>
      <c r="S39"/>
    </row>
    <row r="40" spans="1:19" ht="15" x14ac:dyDescent="0.25">
      <c r="A40" s="16"/>
      <c r="B40" s="43" t="s">
        <v>28</v>
      </c>
      <c r="C40" s="34"/>
      <c r="D40" s="18"/>
      <c r="F40" s="44">
        <f>IF((F44-4*$C$12)&lt;0,0,(F44-4*$C$12))</f>
        <v>30</v>
      </c>
      <c r="G40" s="126">
        <f>G15+(-0.0009*($C$16)^2+0.2797*($C$16))+18.343</f>
        <v>31.884999999999998</v>
      </c>
      <c r="H40" s="135">
        <f t="shared" ref="H40:N48" si="5">(H$10*$G40)-($C$11*($F40))</f>
        <v>218.38651185770749</v>
      </c>
      <c r="I40" s="135">
        <f t="shared" si="5"/>
        <v>234.32901185770748</v>
      </c>
      <c r="J40" s="135">
        <f t="shared" si="5"/>
        <v>250.27151185770748</v>
      </c>
      <c r="K40" s="135">
        <f t="shared" si="5"/>
        <v>266.21401185770748</v>
      </c>
      <c r="L40" s="135">
        <f t="shared" si="5"/>
        <v>282.15651185770747</v>
      </c>
      <c r="M40" s="135">
        <f t="shared" si="5"/>
        <v>298.09901185770747</v>
      </c>
      <c r="N40" s="136">
        <f t="shared" si="5"/>
        <v>314.04151185770746</v>
      </c>
      <c r="O40" s="153"/>
      <c r="P40"/>
      <c r="Q40"/>
      <c r="R40"/>
      <c r="S40"/>
    </row>
    <row r="41" spans="1:19" ht="15" x14ac:dyDescent="0.25">
      <c r="A41" s="16"/>
      <c r="B41" s="37" t="s">
        <v>29</v>
      </c>
      <c r="C41" s="45">
        <f>'Data Entry'!C15</f>
        <v>30</v>
      </c>
      <c r="D41" s="18"/>
      <c r="F41" s="44">
        <f>IF((F45-4*$C$12)&lt;0,0,(F45-4*$C$12))</f>
        <v>40</v>
      </c>
      <c r="G41" s="126">
        <f t="shared" ref="G41:G48" si="6">G16+(-0.0009*($C$16)^2+0.2797*($C$16))+18.343</f>
        <v>33.512</v>
      </c>
      <c r="H41" s="135">
        <f t="shared" si="5"/>
        <v>223.67201581027669</v>
      </c>
      <c r="I41" s="135">
        <f t="shared" si="5"/>
        <v>240.42801581027669</v>
      </c>
      <c r="J41" s="135">
        <f t="shared" si="5"/>
        <v>257.18401581027666</v>
      </c>
      <c r="K41" s="135">
        <f t="shared" si="5"/>
        <v>273.94001581027669</v>
      </c>
      <c r="L41" s="135">
        <f t="shared" si="5"/>
        <v>290.69601581027672</v>
      </c>
      <c r="M41" s="135">
        <f t="shared" si="5"/>
        <v>307.45201581027669</v>
      </c>
      <c r="N41" s="136">
        <f t="shared" si="5"/>
        <v>324.20801581027666</v>
      </c>
      <c r="O41" s="153"/>
      <c r="P41"/>
      <c r="Q41"/>
      <c r="R41"/>
      <c r="S41"/>
    </row>
    <row r="42" spans="1:19" ht="15" x14ac:dyDescent="0.25">
      <c r="A42" s="16"/>
      <c r="B42" s="43" t="s">
        <v>30</v>
      </c>
      <c r="C42" s="46"/>
      <c r="D42" s="18"/>
      <c r="F42" s="44">
        <f>IF((F46-4*$C$12)&lt;0,0,(F46-4*$C$12))</f>
        <v>50</v>
      </c>
      <c r="G42" s="126">
        <f t="shared" si="6"/>
        <v>34.959000000000003</v>
      </c>
      <c r="H42" s="135">
        <f t="shared" si="5"/>
        <v>227.60751976284584</v>
      </c>
      <c r="I42" s="135">
        <f t="shared" si="5"/>
        <v>245.08701976284587</v>
      </c>
      <c r="J42" s="135">
        <f t="shared" si="5"/>
        <v>262.56651976284593</v>
      </c>
      <c r="K42" s="135">
        <f t="shared" si="5"/>
        <v>280.0460197628459</v>
      </c>
      <c r="L42" s="135">
        <f t="shared" si="5"/>
        <v>297.52551976284587</v>
      </c>
      <c r="M42" s="135">
        <f t="shared" si="5"/>
        <v>315.0050197628459</v>
      </c>
      <c r="N42" s="136">
        <f t="shared" si="5"/>
        <v>332.48451976284593</v>
      </c>
      <c r="O42" s="153"/>
      <c r="P42"/>
      <c r="Q42"/>
      <c r="R42"/>
      <c r="S42"/>
    </row>
    <row r="43" spans="1:19" ht="15.75" thickBot="1" x14ac:dyDescent="0.3">
      <c r="A43" s="16"/>
      <c r="B43" s="17"/>
      <c r="C43" s="18"/>
      <c r="D43" s="18"/>
      <c r="F43" s="44">
        <f>IF((F47-4*$C$12)&lt;0,0,(F47-4*$C$12))</f>
        <v>60</v>
      </c>
      <c r="G43" s="126">
        <f t="shared" si="6"/>
        <v>36.225999999999999</v>
      </c>
      <c r="H43" s="135">
        <f t="shared" si="5"/>
        <v>230.19302371541499</v>
      </c>
      <c r="I43" s="135">
        <f t="shared" si="5"/>
        <v>248.30602371541499</v>
      </c>
      <c r="J43" s="135">
        <f t="shared" si="5"/>
        <v>266.41902371541499</v>
      </c>
      <c r="K43" s="135">
        <f t="shared" si="5"/>
        <v>284.53202371541499</v>
      </c>
      <c r="L43" s="135">
        <f t="shared" si="5"/>
        <v>302.64502371541499</v>
      </c>
      <c r="M43" s="135">
        <f t="shared" si="5"/>
        <v>320.75802371541499</v>
      </c>
      <c r="N43" s="136">
        <f t="shared" si="5"/>
        <v>338.87102371541499</v>
      </c>
      <c r="O43" s="153"/>
      <c r="P43"/>
      <c r="Q43"/>
      <c r="R43"/>
      <c r="S43"/>
    </row>
    <row r="44" spans="1:19" ht="15.75" thickBot="1" x14ac:dyDescent="0.3">
      <c r="A44" s="16"/>
      <c r="B44" s="47"/>
      <c r="C44" s="48"/>
      <c r="E44" s="49" t="s">
        <v>13</v>
      </c>
      <c r="F44" s="50">
        <f>E19</f>
        <v>70</v>
      </c>
      <c r="G44" s="126">
        <f t="shared" si="6"/>
        <v>37.313000000000002</v>
      </c>
      <c r="H44" s="135">
        <f t="shared" si="5"/>
        <v>231.42852766798421</v>
      </c>
      <c r="I44" s="135">
        <f t="shared" si="5"/>
        <v>250.08502766798421</v>
      </c>
      <c r="J44" s="135">
        <f t="shared" si="5"/>
        <v>268.7415276679842</v>
      </c>
      <c r="K44" s="135">
        <f t="shared" si="5"/>
        <v>287.39802766798419</v>
      </c>
      <c r="L44" s="135">
        <f t="shared" si="5"/>
        <v>306.05452766798419</v>
      </c>
      <c r="M44" s="135">
        <f t="shared" si="5"/>
        <v>324.71102766798418</v>
      </c>
      <c r="N44" s="136">
        <f t="shared" si="5"/>
        <v>343.36752766798423</v>
      </c>
      <c r="O44" s="153"/>
      <c r="P44"/>
      <c r="Q44"/>
      <c r="R44"/>
      <c r="S44"/>
    </row>
    <row r="45" spans="1:19" ht="15" x14ac:dyDescent="0.25">
      <c r="A45" s="16"/>
      <c r="B45" s="17"/>
      <c r="C45" s="18"/>
      <c r="D45" s="18"/>
      <c r="F45" s="51">
        <f>F44+C37</f>
        <v>80</v>
      </c>
      <c r="G45" s="126">
        <f t="shared" si="6"/>
        <v>38.22</v>
      </c>
      <c r="H45" s="135">
        <f t="shared" si="5"/>
        <v>231.31403162055335</v>
      </c>
      <c r="I45" s="135">
        <f t="shared" si="5"/>
        <v>250.42403162055336</v>
      </c>
      <c r="J45" s="135">
        <f t="shared" si="5"/>
        <v>269.53403162055338</v>
      </c>
      <c r="K45" s="135">
        <f t="shared" si="5"/>
        <v>288.64403162055339</v>
      </c>
      <c r="L45" s="135">
        <f t="shared" si="5"/>
        <v>307.75403162055335</v>
      </c>
      <c r="M45" s="135">
        <f t="shared" si="5"/>
        <v>326.86403162055336</v>
      </c>
      <c r="N45" s="136">
        <f t="shared" si="5"/>
        <v>345.97403162055338</v>
      </c>
      <c r="O45" s="153"/>
      <c r="P45"/>
      <c r="Q45"/>
      <c r="R45"/>
      <c r="S45"/>
    </row>
    <row r="46" spans="1:19" ht="15" x14ac:dyDescent="0.25">
      <c r="A46" s="16"/>
      <c r="B46" s="17"/>
      <c r="C46" s="52"/>
      <c r="D46" s="18"/>
      <c r="F46" s="51">
        <f>F44+2*C37</f>
        <v>90</v>
      </c>
      <c r="G46" s="126">
        <f t="shared" si="6"/>
        <v>38.947000000000003</v>
      </c>
      <c r="H46" s="135">
        <f t="shared" si="5"/>
        <v>229.84953557312255</v>
      </c>
      <c r="I46" s="135">
        <f t="shared" si="5"/>
        <v>249.32303557312255</v>
      </c>
      <c r="J46" s="135">
        <f t="shared" si="5"/>
        <v>268.79653557312258</v>
      </c>
      <c r="K46" s="135">
        <f t="shared" si="5"/>
        <v>288.27003557312253</v>
      </c>
      <c r="L46" s="135">
        <f t="shared" si="5"/>
        <v>307.74353557312259</v>
      </c>
      <c r="M46" s="135">
        <f t="shared" si="5"/>
        <v>327.21703557312253</v>
      </c>
      <c r="N46" s="136">
        <f t="shared" si="5"/>
        <v>346.69053557312259</v>
      </c>
      <c r="O46" s="153"/>
      <c r="P46"/>
      <c r="Q46"/>
      <c r="R46"/>
      <c r="S46"/>
    </row>
    <row r="47" spans="1:19" ht="15" x14ac:dyDescent="0.25">
      <c r="A47" s="16"/>
      <c r="B47" s="17"/>
      <c r="C47" s="18"/>
      <c r="D47" s="18"/>
      <c r="F47" s="51">
        <f>F44+3*C37</f>
        <v>100</v>
      </c>
      <c r="G47" s="126">
        <f t="shared" si="6"/>
        <v>39.494</v>
      </c>
      <c r="H47" s="135">
        <f t="shared" si="5"/>
        <v>227.03503952569167</v>
      </c>
      <c r="I47" s="135">
        <f t="shared" si="5"/>
        <v>246.78203952569169</v>
      </c>
      <c r="J47" s="135">
        <f t="shared" si="5"/>
        <v>266.5290395256917</v>
      </c>
      <c r="K47" s="135">
        <f t="shared" si="5"/>
        <v>286.27603952569171</v>
      </c>
      <c r="L47" s="135">
        <f t="shared" si="5"/>
        <v>306.02303952569167</v>
      </c>
      <c r="M47" s="135">
        <f t="shared" si="5"/>
        <v>325.77003952569169</v>
      </c>
      <c r="N47" s="136">
        <f t="shared" si="5"/>
        <v>345.5170395256917</v>
      </c>
      <c r="O47" s="153"/>
      <c r="P47"/>
      <c r="Q47"/>
      <c r="R47"/>
      <c r="S47"/>
    </row>
    <row r="48" spans="1:19" ht="15" x14ac:dyDescent="0.25">
      <c r="A48" s="16"/>
      <c r="B48" s="17"/>
      <c r="C48" s="18"/>
      <c r="D48" s="18"/>
      <c r="F48" s="51">
        <f>F44+4*C37</f>
        <v>110</v>
      </c>
      <c r="G48" s="126">
        <f t="shared" si="6"/>
        <v>39.861000000000004</v>
      </c>
      <c r="H48" s="135">
        <f t="shared" si="5"/>
        <v>222.87054347826091</v>
      </c>
      <c r="I48" s="135">
        <f t="shared" si="5"/>
        <v>242.80104347826091</v>
      </c>
      <c r="J48" s="135">
        <f t="shared" si="5"/>
        <v>262.7315434782609</v>
      </c>
      <c r="K48" s="135">
        <f t="shared" si="5"/>
        <v>282.6620434782609</v>
      </c>
      <c r="L48" s="135">
        <f t="shared" si="5"/>
        <v>302.59254347826089</v>
      </c>
      <c r="M48" s="135">
        <f t="shared" si="5"/>
        <v>322.52304347826089</v>
      </c>
      <c r="N48" s="136">
        <f t="shared" si="5"/>
        <v>342.45354347826094</v>
      </c>
      <c r="O48" s="153"/>
      <c r="P48"/>
      <c r="Q48"/>
      <c r="R48"/>
      <c r="S48"/>
    </row>
    <row r="49" spans="1:19" ht="13.5" customHeight="1" x14ac:dyDescent="0.2">
      <c r="A49" s="16"/>
      <c r="B49" s="17"/>
      <c r="C49" s="18"/>
      <c r="D49" s="18"/>
      <c r="F49" s="180" t="s">
        <v>104</v>
      </c>
      <c r="G49" s="173"/>
      <c r="H49" s="173"/>
      <c r="I49" s="173"/>
      <c r="J49" s="173"/>
      <c r="K49" s="173"/>
      <c r="L49" s="173"/>
      <c r="M49" s="173"/>
      <c r="N49" s="174"/>
      <c r="O49" s="153"/>
      <c r="P49"/>
      <c r="Q49"/>
      <c r="R49"/>
      <c r="S49"/>
    </row>
    <row r="50" spans="1:19" ht="9.75" customHeight="1" x14ac:dyDescent="0.2">
      <c r="A50" s="16"/>
      <c r="B50" s="17"/>
      <c r="C50" s="18"/>
      <c r="D50" s="18"/>
      <c r="F50" s="183" t="s">
        <v>16</v>
      </c>
      <c r="G50" s="175"/>
      <c r="H50" s="175"/>
      <c r="I50" s="175"/>
      <c r="J50" s="175"/>
      <c r="K50" s="175"/>
      <c r="L50" s="175"/>
      <c r="M50" s="175"/>
      <c r="N50" s="176"/>
      <c r="O50" s="153"/>
      <c r="P50"/>
      <c r="Q50"/>
      <c r="R50"/>
      <c r="S50"/>
    </row>
    <row r="51" spans="1:19" ht="9.75" customHeight="1" x14ac:dyDescent="0.2">
      <c r="A51" s="16"/>
      <c r="B51" s="17"/>
      <c r="C51" s="18"/>
      <c r="D51" s="18"/>
      <c r="F51" s="183" t="s">
        <v>103</v>
      </c>
      <c r="G51" s="175"/>
      <c r="H51" s="175"/>
      <c r="I51" s="175"/>
      <c r="J51" s="175"/>
      <c r="K51" s="175"/>
      <c r="L51" s="175"/>
      <c r="M51" s="175"/>
      <c r="N51" s="176"/>
      <c r="O51" s="153"/>
      <c r="P51"/>
      <c r="Q51"/>
      <c r="R51"/>
      <c r="S51"/>
    </row>
    <row r="52" spans="1:19" ht="11.25" customHeight="1" x14ac:dyDescent="0.2">
      <c r="A52" s="16"/>
      <c r="B52" s="17"/>
      <c r="C52" s="18"/>
      <c r="D52" s="18"/>
      <c r="F52" s="79" t="s">
        <v>88</v>
      </c>
      <c r="G52" s="80"/>
      <c r="H52" s="80"/>
      <c r="I52" s="80"/>
      <c r="J52" s="80"/>
      <c r="K52" s="130"/>
      <c r="L52" s="130"/>
      <c r="M52" s="130"/>
      <c r="N52" s="166"/>
      <c r="O52" s="153"/>
      <c r="P52"/>
      <c r="Q52"/>
      <c r="R52"/>
      <c r="S52"/>
    </row>
    <row r="53" spans="1:19" ht="12" customHeight="1" thickBot="1" x14ac:dyDescent="0.25">
      <c r="A53" s="16"/>
      <c r="B53" s="17"/>
      <c r="C53" s="18"/>
      <c r="D53" s="18"/>
      <c r="F53" s="186" t="s">
        <v>38</v>
      </c>
      <c r="G53" s="177"/>
      <c r="H53" s="178"/>
      <c r="I53" s="178"/>
      <c r="J53" s="178"/>
      <c r="K53" s="170"/>
      <c r="L53" s="170"/>
      <c r="M53" s="170"/>
      <c r="N53" s="171"/>
      <c r="O53" s="153"/>
      <c r="P53"/>
      <c r="Q53"/>
      <c r="R53"/>
      <c r="S53"/>
    </row>
    <row r="54" spans="1:19" ht="11.25" customHeight="1" x14ac:dyDescent="0.2">
      <c r="A54" s="16"/>
      <c r="B54" s="17"/>
      <c r="C54" s="18"/>
      <c r="D54" s="18"/>
      <c r="E54" s="53"/>
      <c r="F54" s="53"/>
      <c r="G54" s="53"/>
      <c r="H54" s="53"/>
      <c r="I54" s="53"/>
      <c r="J54" s="53"/>
      <c r="K54" s="12"/>
      <c r="L54" s="12"/>
      <c r="M54" s="12"/>
      <c r="N54" s="15"/>
      <c r="O54" s="153"/>
      <c r="P54"/>
      <c r="Q54"/>
      <c r="R54"/>
      <c r="S54"/>
    </row>
    <row r="55" spans="1:19" ht="11.25" customHeight="1" thickBot="1" x14ac:dyDescent="0.25">
      <c r="B55" s="252"/>
      <c r="C55" s="253"/>
      <c r="D55" s="253"/>
      <c r="E55" s="253"/>
      <c r="F55" s="253"/>
      <c r="G55" s="253"/>
      <c r="H55" s="253"/>
      <c r="I55" s="253"/>
      <c r="J55" s="253"/>
      <c r="K55" s="55"/>
      <c r="L55" s="55"/>
      <c r="M55" s="55"/>
      <c r="N55" s="56"/>
      <c r="O55" s="153"/>
      <c r="P55"/>
      <c r="Q55"/>
      <c r="R55"/>
      <c r="S55"/>
    </row>
    <row r="56" spans="1:19" x14ac:dyDescent="0.2">
      <c r="O56" s="153"/>
      <c r="P56"/>
      <c r="Q56"/>
      <c r="R56"/>
      <c r="S56"/>
    </row>
    <row r="57" spans="1:19" x14ac:dyDescent="0.2">
      <c r="O57" s="153"/>
      <c r="P57"/>
      <c r="Q57"/>
      <c r="R57"/>
      <c r="S57"/>
    </row>
    <row r="58" spans="1:19" x14ac:dyDescent="0.2">
      <c r="O58" s="153"/>
      <c r="P58"/>
      <c r="Q58"/>
      <c r="R58"/>
      <c r="S58"/>
    </row>
  </sheetData>
  <sheetProtection password="CE5A" sheet="1" objects="1" scenarios="1"/>
  <mergeCells count="23">
    <mergeCell ref="I8:M8"/>
    <mergeCell ref="H12:N12"/>
    <mergeCell ref="H38:N38"/>
    <mergeCell ref="B55:J55"/>
    <mergeCell ref="G8:G10"/>
    <mergeCell ref="B32:C32"/>
    <mergeCell ref="G33:G35"/>
    <mergeCell ref="I33:M33"/>
    <mergeCell ref="H37:N37"/>
    <mergeCell ref="H13:N13"/>
    <mergeCell ref="E29:N29"/>
    <mergeCell ref="B30:J30"/>
    <mergeCell ref="E24:N24"/>
    <mergeCell ref="E25:N25"/>
    <mergeCell ref="E26:N26"/>
    <mergeCell ref="E27:N27"/>
    <mergeCell ref="E28:N28"/>
    <mergeCell ref="B2:N2"/>
    <mergeCell ref="B3:N3"/>
    <mergeCell ref="H5:K5"/>
    <mergeCell ref="E5:G5"/>
    <mergeCell ref="L5:N5"/>
    <mergeCell ref="B7:C7"/>
  </mergeCells>
  <phoneticPr fontId="15" type="noConversion"/>
  <conditionalFormatting sqref="H40:H48">
    <cfRule type="cellIs" dxfId="259" priority="1" stopIfTrue="1" operator="between">
      <formula>MAX($H$40:$H$48)-0.5</formula>
      <formula>MAX($H$40:$H$48)+0.5</formula>
    </cfRule>
    <cfRule type="cellIs" dxfId="258" priority="2" stopIfTrue="1" operator="between">
      <formula>MAX($H$40:$H$48)-0.5</formula>
      <formula>MAX($H$40:$H$48)-1.5</formula>
    </cfRule>
    <cfRule type="cellIs" dxfId="257" priority="3" stopIfTrue="1" operator="between">
      <formula>MAX($H$40:$H$48+0.5)</formula>
      <formula>MAX($H$40:$H$48)+1.5</formula>
    </cfRule>
  </conditionalFormatting>
  <conditionalFormatting sqref="I40:I48">
    <cfRule type="cellIs" dxfId="256" priority="4" stopIfTrue="1" operator="between">
      <formula>MAX($I$40:$I$55)-0.5</formula>
      <formula>MAX($I$40:$I$55)+0.5</formula>
    </cfRule>
    <cfRule type="cellIs" dxfId="255" priority="5" stopIfTrue="1" operator="between">
      <formula>MAX($I$40:$I$55)-0.5</formula>
      <formula>MAX($I$40:$I$55)-1.5</formula>
    </cfRule>
    <cfRule type="cellIs" dxfId="254" priority="6" stopIfTrue="1" operator="between">
      <formula>MAX($I$40:$I$55)+0.5</formula>
      <formula>MAX($I$40:$I$55)+1.5</formula>
    </cfRule>
  </conditionalFormatting>
  <conditionalFormatting sqref="J40:J48">
    <cfRule type="cellIs" dxfId="253" priority="7" stopIfTrue="1" operator="between">
      <formula>MAX($J$40:$J$55)-0.5</formula>
      <formula>MAX($J$40:$J$55)+0.5</formula>
    </cfRule>
    <cfRule type="cellIs" dxfId="252" priority="8" stopIfTrue="1" operator="between">
      <formula>MAX($J$40:$J$55)-0.5</formula>
      <formula>MAX($J$40:$J$55)-1.5</formula>
    </cfRule>
    <cfRule type="cellIs" dxfId="251" priority="9" stopIfTrue="1" operator="between">
      <formula>MAX($J$40:$J$55)+0.5</formula>
      <formula>MAX($J$40:$J$55)+1.5</formula>
    </cfRule>
  </conditionalFormatting>
  <conditionalFormatting sqref="K40:K48">
    <cfRule type="cellIs" dxfId="250" priority="10" stopIfTrue="1" operator="between">
      <formula>MAX($K$40:$K$55)-0.5</formula>
      <formula>MAX($K$40:$K$55)+0.5</formula>
    </cfRule>
    <cfRule type="cellIs" dxfId="249" priority="11" stopIfTrue="1" operator="between">
      <formula>MAX($K$40:$K$55)-0.5</formula>
      <formula>MAX($K$40:$K$55)-1.5</formula>
    </cfRule>
    <cfRule type="cellIs" dxfId="248" priority="12" stopIfTrue="1" operator="between">
      <formula>MAX($K$40:$K$55)+0.5</formula>
      <formula>MAX($K$40:$K$55)+1.5</formula>
    </cfRule>
  </conditionalFormatting>
  <conditionalFormatting sqref="L40:L48">
    <cfRule type="cellIs" dxfId="247" priority="13" stopIfTrue="1" operator="between">
      <formula>MAX($L$40:$L$55)-0.5</formula>
      <formula>MAX($L$40:$L$55)+0.5</formula>
    </cfRule>
    <cfRule type="cellIs" dxfId="246" priority="14" stopIfTrue="1" operator="between">
      <formula>MAX($L$40:$L$55)-0.5</formula>
      <formula>MAX($L$40:$L$55)-1.5</formula>
    </cfRule>
    <cfRule type="cellIs" dxfId="245" priority="15" stopIfTrue="1" operator="between">
      <formula>MAX($L$40:$L$55)+0.5</formula>
      <formula>MAX($L$40:$L$55)+1.5</formula>
    </cfRule>
  </conditionalFormatting>
  <conditionalFormatting sqref="M40:M48">
    <cfRule type="cellIs" dxfId="244" priority="16" stopIfTrue="1" operator="between">
      <formula>MAX($M$40:$M$55)-0.5</formula>
      <formula>MAX($M$40:$M$55)+0.5</formula>
    </cfRule>
    <cfRule type="cellIs" dxfId="243" priority="17" stopIfTrue="1" operator="between">
      <formula>MAX($M$40:$M$55)-0.5</formula>
      <formula>MAX($M$40:$M$55)-1.5</formula>
    </cfRule>
    <cfRule type="cellIs" dxfId="242" priority="18" stopIfTrue="1" operator="between">
      <formula>MAX($M$40:$M$55)+0.5</formula>
      <formula>MAX($M$40:$M$55)+1.5</formula>
    </cfRule>
  </conditionalFormatting>
  <conditionalFormatting sqref="N40:N48">
    <cfRule type="cellIs" dxfId="241" priority="19" stopIfTrue="1" operator="between">
      <formula>MAX($N$40:$N$55)-0.5</formula>
      <formula>MAX($N$40:$N$55)+0.5</formula>
    </cfRule>
    <cfRule type="cellIs" dxfId="240" priority="20" stopIfTrue="1" operator="between">
      <formula>MAX($N$40:$N$55)-0.5</formula>
      <formula>MAX($N$40:$N$55)-1.5</formula>
    </cfRule>
    <cfRule type="cellIs" dxfId="239" priority="21" stopIfTrue="1" operator="between">
      <formula>MAX($N$40:$N$55)+0.5</formula>
      <formula>MAX($N$40:$N$55)+1.5</formula>
    </cfRule>
  </conditionalFormatting>
  <conditionalFormatting sqref="I15:I23">
    <cfRule type="cellIs" dxfId="238" priority="22" stopIfTrue="1" operator="between">
      <formula>MAX($I$15:$I$23)-0.5</formula>
      <formula>MAX($I$15:$I$23)+0.5</formula>
    </cfRule>
    <cfRule type="cellIs" dxfId="237" priority="23" stopIfTrue="1" operator="between">
      <formula>MAX($I$15:$I$23)-0.5</formula>
      <formula>MAX($I$15:$I$23)-1.5</formula>
    </cfRule>
    <cfRule type="cellIs" dxfId="236" priority="24" stopIfTrue="1" operator="between">
      <formula>MAX($I$15:$I$23)+0.5</formula>
      <formula>MAX($I$15:$I$23)+1.5</formula>
    </cfRule>
  </conditionalFormatting>
  <conditionalFormatting sqref="J15:J23">
    <cfRule type="cellIs" dxfId="235" priority="25" stopIfTrue="1" operator="between">
      <formula>MAX($J$15:$J$23)-0.5</formula>
      <formula>MAX($J$15:$J$23)+0.5</formula>
    </cfRule>
    <cfRule type="cellIs" dxfId="234" priority="26" stopIfTrue="1" operator="between">
      <formula>MAX($J$15:$J$23)-0.5</formula>
      <formula>MAX($J$15:$J$23)-1.5</formula>
    </cfRule>
    <cfRule type="cellIs" dxfId="233" priority="27" stopIfTrue="1" operator="between">
      <formula>MAX($J$15:$J$23)+0.5</formula>
      <formula>MAX($J$15:$J$23)+1.5</formula>
    </cfRule>
  </conditionalFormatting>
  <conditionalFormatting sqref="K15:K23">
    <cfRule type="cellIs" dxfId="232" priority="28" stopIfTrue="1" operator="between">
      <formula>MAX($K$15:$K$23)-0.5</formula>
      <formula>MAX($K$15:$K$23)+0.5</formula>
    </cfRule>
    <cfRule type="cellIs" dxfId="231" priority="29" stopIfTrue="1" operator="between">
      <formula>MAX($K$15:$K$23)-0.5</formula>
      <formula>MAX($K$15:$K$23)-1.5</formula>
    </cfRule>
    <cfRule type="cellIs" dxfId="230" priority="30" stopIfTrue="1" operator="between">
      <formula>MAX($K$15:$K$23)+0.5</formula>
      <formula>MAX($K$15:$K$23)+1.5</formula>
    </cfRule>
  </conditionalFormatting>
  <conditionalFormatting sqref="L15:L23">
    <cfRule type="cellIs" dxfId="229" priority="31" stopIfTrue="1" operator="between">
      <formula>MAX($L$15:$L$23)-0.5</formula>
      <formula>MAX($L$15:$L$23)+0.5</formula>
    </cfRule>
    <cfRule type="cellIs" dxfId="228" priority="32" stopIfTrue="1" operator="between">
      <formula>MAX($L$15:$L$23)-0.5</formula>
      <formula>MAX($L$15:$L$23)-1.5</formula>
    </cfRule>
    <cfRule type="cellIs" dxfId="227" priority="33" stopIfTrue="1" operator="between">
      <formula>MAX($L$15:$L$23+0.5)</formula>
      <formula>MAX($L$15:$L$23)+1.5</formula>
    </cfRule>
  </conditionalFormatting>
  <conditionalFormatting sqref="M15:M23">
    <cfRule type="cellIs" dxfId="226" priority="34" stopIfTrue="1" operator="between">
      <formula>MAX($M$15:$M$23)-0.5</formula>
      <formula>":$M$23)+0.5"</formula>
    </cfRule>
    <cfRule type="cellIs" dxfId="225" priority="35" stopIfTrue="1" operator="between">
      <formula>MAX($M$15:$M$23)-0.5</formula>
      <formula>MAX($M$15:$M$23)-1.5</formula>
    </cfRule>
    <cfRule type="cellIs" dxfId="224" priority="36" stopIfTrue="1" operator="between">
      <formula>MAX($M$15:$M$23)+0.5</formula>
      <formula>MAX($M$15:$M$23)+1.5</formula>
    </cfRule>
  </conditionalFormatting>
  <conditionalFormatting sqref="N15:N23">
    <cfRule type="cellIs" dxfId="223" priority="37" stopIfTrue="1" operator="between">
      <formula>MAX($N$15:$N$23)-0.5</formula>
      <formula>MAX($N$15:$N$23)+0.5</formula>
    </cfRule>
    <cfRule type="cellIs" dxfId="222" priority="38" stopIfTrue="1" operator="between">
      <formula>MAX($N$15:$N$23)-0.5</formula>
      <formula>MAX($N$15:$N$23)-1.5</formula>
    </cfRule>
    <cfRule type="cellIs" dxfId="221" priority="39" stopIfTrue="1" operator="between">
      <formula>MAX($N$15:$N$23)+0.5</formula>
      <formula>MAX($N$15:$N$23)+1.5</formula>
    </cfRule>
  </conditionalFormatting>
  <conditionalFormatting sqref="H15:H23">
    <cfRule type="cellIs" dxfId="220" priority="40" stopIfTrue="1" operator="between">
      <formula>MAX($H$15:$H$23)-0.5</formula>
      <formula>MAX($H$15:$H$23)+0.5</formula>
    </cfRule>
    <cfRule type="cellIs" dxfId="219" priority="41" stopIfTrue="1" operator="between">
      <formula>MAX($H$15:$H$23)-1.5</formula>
      <formula>MAX($H$15:$H$23)-0.5</formula>
    </cfRule>
    <cfRule type="cellIs" dxfId="218" priority="42" stopIfTrue="1" operator="between">
      <formula>MAX($H$15:$H$23)+0.5</formula>
      <formula>MAX($H$15:$H$23)+1.5</formula>
    </cfRule>
  </conditionalFormatting>
  <hyperlinks>
    <hyperlink ref="E5:G5" location="'Canola MR'!A1" display="Go to Marginal Revenue Chart"/>
    <hyperlink ref="H5:J5" location="'Canola Fertilizer'!A1" display="Go to Fertilizer as variable"/>
    <hyperlink ref="L5" location="'Data Entry'!A1" display="Return to Data Entry"/>
    <hyperlink ref="G33" location="'Wheat crop price'!D47" display="Go to Total Net Return"/>
    <hyperlink ref="G33:G35" location="'Canola Crop'!D1" display="Return to Net Return"/>
    <hyperlink ref="G8" location="'Wheat crop price'!D47" display="Go to Total Net Return"/>
    <hyperlink ref="G8:G10" location="'Canola Crop'!D53" display="Go to Total Net Return Below"/>
    <hyperlink ref="H5" location="'Canola Fertilizer'!A1" display="Go to Fertilizer Price as variable"/>
  </hyperlinks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3EA5758E6D59439B75F68641BFDB7D" ma:contentTypeVersion="3" ma:contentTypeDescription="Create a new document." ma:contentTypeScope="" ma:versionID="db0c62d221835eeda43fcdec2de4e45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e3a8e009ed1805dbfa53b72505378cf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2330095-6577-4450-BD22-9FD8E67606F8}"/>
</file>

<file path=customXml/itemProps2.xml><?xml version="1.0" encoding="utf-8"?>
<ds:datastoreItem xmlns:ds="http://schemas.openxmlformats.org/officeDocument/2006/customXml" ds:itemID="{2CE7FAB4-A2F6-421D-AA8C-930C840160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103788-7CC4-4D82-AD25-C3CA7EDAEBC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Data Entry</vt:lpstr>
      <vt:lpstr>Disclaimer</vt:lpstr>
      <vt:lpstr>Wheat (Moist) Crop</vt:lpstr>
      <vt:lpstr>Wheat (Dry) Crop</vt:lpstr>
      <vt:lpstr>Wheat (Arid) Crop</vt:lpstr>
      <vt:lpstr>Barley (Moist) Crop</vt:lpstr>
      <vt:lpstr>Barley (Dry) Crop</vt:lpstr>
      <vt:lpstr>Barley (Arid) Crop</vt:lpstr>
      <vt:lpstr>Canola Crop</vt:lpstr>
      <vt:lpstr>Canola (hybrid) Crop</vt:lpstr>
      <vt:lpstr>Wheat (Moist) MR</vt:lpstr>
      <vt:lpstr>Wheat (Dry) MR</vt:lpstr>
      <vt:lpstr>Wheat (Arid) MR</vt:lpstr>
      <vt:lpstr>Barley (Moist) MR</vt:lpstr>
      <vt:lpstr>Barley (Dry) MR</vt:lpstr>
      <vt:lpstr>Barley (Arid) MR</vt:lpstr>
      <vt:lpstr>Canola MR</vt:lpstr>
      <vt:lpstr>Canola (hybrid) MR</vt:lpstr>
      <vt:lpstr>Wheat (Moist) Fertilizer</vt:lpstr>
      <vt:lpstr>Wheat (Dry) Fertilizer</vt:lpstr>
      <vt:lpstr>Wheat (Arid) Fertilizer</vt:lpstr>
      <vt:lpstr>Barley (Moist) Fertilizer</vt:lpstr>
      <vt:lpstr>Barley (Dry) Fertilizer</vt:lpstr>
      <vt:lpstr>Barley (Arid) Fertilizer</vt:lpstr>
      <vt:lpstr>Canola Fertilizer</vt:lpstr>
      <vt:lpstr>Canola (hybrid) Fertilizer</vt:lpstr>
    </vt:vector>
  </TitlesOfParts>
  <Company> Western Co-Operative Fertilizers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Reviewer</dc:creator>
  <cp:lastModifiedBy>Ali, Mohammed</cp:lastModifiedBy>
  <cp:lastPrinted>2009-04-23T03:40:37Z</cp:lastPrinted>
  <dcterms:created xsi:type="dcterms:W3CDTF">2005-11-14T20:49:37Z</dcterms:created>
  <dcterms:modified xsi:type="dcterms:W3CDTF">2024-01-22T16:14:05Z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0x010100173EA5758E6D59439B75F68641BFDB7D</vt:lpwstr>
  </property>
</Properties>
</file>