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P:\D03\Farm Management\Production Economics\COP decision support tools\2 - Forage and Livestock Calculators\final version\"/>
    </mc:Choice>
  </mc:AlternateContent>
  <xr:revisionPtr revIDLastSave="0" documentId="8_{415EB20E-8105-461D-9742-E1CE09C7C9AA}" xr6:coauthVersionLast="47" xr6:coauthVersionMax="47" xr10:uidLastSave="{00000000-0000-0000-0000-000000000000}"/>
  <bookViews>
    <workbookView xWindow="-96" yWindow="-96" windowWidth="23232" windowHeight="12552" activeTab="2" xr2:uid="{00000000-000D-0000-FFFF-FFFF00000000}"/>
  </bookViews>
  <sheets>
    <sheet name=" LPI Calculator" sheetId="1" r:id="rId1"/>
    <sheet name="User Guide" sheetId="5" r:id="rId2"/>
    <sheet name="Cost of Production" sheetId="2" r:id="rId3"/>
    <sheet name="Graph Data (HIDE)" sheetId="3" state="hidden" r:id="rId4"/>
    <sheet name="WLPIP 2 (HIDE)" sheetId="4" state="hidden" r:id="rId5"/>
  </sheets>
  <definedNames>
    <definedName name="\A" localSheetId="0">#REF!</definedName>
    <definedName name="\A" localSheetId="1">#REF!</definedName>
    <definedName name="\A" localSheetId="4">#REF!</definedName>
    <definedName name="\A">#REF!</definedName>
    <definedName name="\B" localSheetId="0">#REF!</definedName>
    <definedName name="\B" localSheetId="1">#REF!</definedName>
    <definedName name="\B" localSheetId="4">#REF!</definedName>
    <definedName name="\B">#REF!</definedName>
    <definedName name="\C" localSheetId="0">#REF!</definedName>
    <definedName name="\C" localSheetId="1">#REF!</definedName>
    <definedName name="\C" localSheetId="4">#REF!</definedName>
    <definedName name="\C">#N/A</definedName>
    <definedName name="\D" localSheetId="0">#REF!</definedName>
    <definedName name="\D" localSheetId="1">#REF!</definedName>
    <definedName name="\D" localSheetId="4">#REF!</definedName>
    <definedName name="\D">#N/A</definedName>
    <definedName name="\E" localSheetId="0">#REF!</definedName>
    <definedName name="\E" localSheetId="1">#REF!</definedName>
    <definedName name="\E" localSheetId="4">#REF!</definedName>
    <definedName name="\E">#REF!</definedName>
    <definedName name="\F" localSheetId="0">#REF!</definedName>
    <definedName name="\F" localSheetId="1">#REF!</definedName>
    <definedName name="\F" localSheetId="4">#REF!</definedName>
    <definedName name="\F">#REF!</definedName>
    <definedName name="\H" localSheetId="0">#REF!</definedName>
    <definedName name="\H" localSheetId="1">#REF!</definedName>
    <definedName name="\H" localSheetId="4">#REF!</definedName>
    <definedName name="\H">#N/A</definedName>
    <definedName name="\I" localSheetId="0">#REF!</definedName>
    <definedName name="\I" localSheetId="1">#REF!</definedName>
    <definedName name="\I" localSheetId="4">#REF!</definedName>
    <definedName name="\I">#N/A</definedName>
    <definedName name="\K">#N/A</definedName>
    <definedName name="\L" localSheetId="0">#REF!</definedName>
    <definedName name="\L" localSheetId="1">#REF!</definedName>
    <definedName name="\L" localSheetId="4">#REF!</definedName>
    <definedName name="\L">#REF!</definedName>
    <definedName name="\N" localSheetId="0">#REF!</definedName>
    <definedName name="\N" localSheetId="1">#REF!</definedName>
    <definedName name="\N" localSheetId="4">#REF!</definedName>
    <definedName name="\N">#N/A</definedName>
    <definedName name="\O" localSheetId="0">#REF!</definedName>
    <definedName name="\O" localSheetId="1">#REF!</definedName>
    <definedName name="\O" localSheetId="4">#REF!</definedName>
    <definedName name="\O">#REF!</definedName>
    <definedName name="\P">#N/A</definedName>
    <definedName name="\R" localSheetId="0">#REF!</definedName>
    <definedName name="\R" localSheetId="1">#REF!</definedName>
    <definedName name="\R" localSheetId="4">#REF!</definedName>
    <definedName name="\R">#REF!</definedName>
    <definedName name="\S" localSheetId="0">#REF!</definedName>
    <definedName name="\S" localSheetId="1">#REF!</definedName>
    <definedName name="\S" localSheetId="4">#REF!</definedName>
    <definedName name="\S">#N/A</definedName>
    <definedName name="\T" localSheetId="0">#REF!</definedName>
    <definedName name="\T" localSheetId="1">#REF!</definedName>
    <definedName name="\T" localSheetId="4">#REF!</definedName>
    <definedName name="\T">#REF!</definedName>
    <definedName name="\U" localSheetId="0">#REF!</definedName>
    <definedName name="\U" localSheetId="1">#REF!</definedName>
    <definedName name="\U" localSheetId="4">#REF!</definedName>
    <definedName name="\U">#REF!</definedName>
    <definedName name="\W" localSheetId="0">#REF!</definedName>
    <definedName name="\W" localSheetId="1">#REF!</definedName>
    <definedName name="\W" localSheetId="4">#REF!</definedName>
    <definedName name="\W">#N/A</definedName>
    <definedName name="\X">#N/A</definedName>
    <definedName name="\Y" localSheetId="0">#REF!</definedName>
    <definedName name="\Y" localSheetId="1">#REF!</definedName>
    <definedName name="\Y" localSheetId="4">#REF!</definedName>
    <definedName name="\Y">#REF!</definedName>
    <definedName name="ALL">#N/A</definedName>
    <definedName name="_xlnm.Print_Area" localSheetId="0">' LPI Calculator'!$A$1:$V$114</definedName>
    <definedName name="_xlnm.Print_Area" localSheetId="1">'User Guide'!$A$3:$K$102</definedName>
    <definedName name="_xlnm.Print_Area" localSheetId="4">'WLPIP 2 (HIDE)'!$A$1:$V$69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3" i="3"/>
  <c r="B11" i="3"/>
  <c r="C86" i="5"/>
  <c r="A47" i="1"/>
  <c r="B37" i="1"/>
  <c r="A35" i="1"/>
  <c r="A26" i="1"/>
  <c r="C14" i="1"/>
  <c r="E42" i="3"/>
  <c r="M58" i="3" s="1"/>
  <c r="V14" i="4"/>
  <c r="U14" i="4"/>
  <c r="T14" i="4"/>
  <c r="T33" i="4" s="1"/>
  <c r="S14" i="4"/>
  <c r="R14" i="4"/>
  <c r="Q14" i="4"/>
  <c r="P14" i="4"/>
  <c r="O14" i="4"/>
  <c r="N14" i="4"/>
  <c r="M14" i="4"/>
  <c r="L14" i="4"/>
  <c r="K14" i="4"/>
  <c r="J14" i="4"/>
  <c r="I14" i="4"/>
  <c r="H14" i="4"/>
  <c r="G14" i="4"/>
  <c r="F14" i="4"/>
  <c r="E14" i="4"/>
  <c r="D14" i="4"/>
  <c r="C14" i="4"/>
  <c r="C13" i="4"/>
  <c r="D13" i="4" s="1"/>
  <c r="E13" i="4" s="1"/>
  <c r="F13" i="4" s="1"/>
  <c r="G13" i="4" s="1"/>
  <c r="C6" i="4"/>
  <c r="A23" i="4" s="1"/>
  <c r="O5" i="4"/>
  <c r="N5" i="4"/>
  <c r="I5" i="4"/>
  <c r="A43" i="4" s="1"/>
  <c r="BB37" i="4"/>
  <c r="BB38" i="4" s="1"/>
  <c r="BD8" i="4"/>
  <c r="BE8" i="4" s="1"/>
  <c r="BF8" i="4" s="1"/>
  <c r="BG8" i="4" s="1"/>
  <c r="BH8" i="4" s="1"/>
  <c r="BI8" i="4" s="1"/>
  <c r="BJ8" i="4" s="1"/>
  <c r="BK8" i="4" s="1"/>
  <c r="BL8" i="4" s="1"/>
  <c r="BM8" i="4" s="1"/>
  <c r="BN8" i="4" s="1"/>
  <c r="BO8" i="4" s="1"/>
  <c r="BP8" i="4" s="1"/>
  <c r="BQ8" i="4" s="1"/>
  <c r="BR8" i="4" s="1"/>
  <c r="BS8" i="4" s="1"/>
  <c r="BT8" i="4" s="1"/>
  <c r="BU8" i="4" s="1"/>
  <c r="BV8" i="4" s="1"/>
  <c r="BW8" i="4" s="1"/>
  <c r="BX8" i="4" s="1"/>
  <c r="BY8" i="4" s="1"/>
  <c r="BZ8" i="4" s="1"/>
  <c r="CA8" i="4" s="1"/>
  <c r="CB8" i="4" s="1"/>
  <c r="CC8" i="4" s="1"/>
  <c r="CD8" i="4" s="1"/>
  <c r="CE8" i="4" s="1"/>
  <c r="CF8" i="4" s="1"/>
  <c r="BC8" i="4"/>
  <c r="V3" i="4"/>
  <c r="C55" i="3"/>
  <c r="B55" i="3"/>
  <c r="C82" i="3"/>
  <c r="B82" i="3"/>
  <c r="C43" i="3"/>
  <c r="B43" i="3"/>
  <c r="B2" i="3"/>
  <c r="C2" i="3"/>
  <c r="B10" i="3"/>
  <c r="C8" i="3"/>
  <c r="B8" i="3"/>
  <c r="BB29" i="1"/>
  <c r="BB30" i="1" s="1"/>
  <c r="A25" i="1"/>
  <c r="C14" i="2"/>
  <c r="C31" i="2" s="1"/>
  <c r="C32" i="2" s="1"/>
  <c r="D9" i="1"/>
  <c r="D2" i="3" s="1"/>
  <c r="V3" i="1"/>
  <c r="C41" i="2"/>
  <c r="B28" i="4"/>
  <c r="D20" i="1"/>
  <c r="D25" i="1" s="1"/>
  <c r="P20" i="1"/>
  <c r="P25" i="1" s="1"/>
  <c r="T41" i="1"/>
  <c r="T40" i="1"/>
  <c r="T3" i="3" s="1"/>
  <c r="A21" i="1"/>
  <c r="B57" i="3" s="1"/>
  <c r="V37" i="1"/>
  <c r="V26" i="1"/>
  <c r="C36" i="1"/>
  <c r="C11" i="3" s="1"/>
  <c r="T37" i="1"/>
  <c r="U26" i="1"/>
  <c r="F20" i="1"/>
  <c r="F25" i="1" s="1"/>
  <c r="R20" i="1"/>
  <c r="R9" i="3" s="1"/>
  <c r="V40" i="1"/>
  <c r="V3" i="3" s="1"/>
  <c r="U36" i="1"/>
  <c r="U11" i="3" s="1"/>
  <c r="S37" i="1"/>
  <c r="S21" i="1"/>
  <c r="S57" i="3" s="1"/>
  <c r="S56" i="3" s="1"/>
  <c r="U21" i="1"/>
  <c r="U57" i="3" s="1"/>
  <c r="U56" i="3" s="1"/>
  <c r="G20" i="1"/>
  <c r="G25" i="1" s="1"/>
  <c r="S20" i="1"/>
  <c r="S9" i="3" s="1"/>
  <c r="U41" i="1"/>
  <c r="V36" i="1"/>
  <c r="V11" i="3" s="1"/>
  <c r="T49" i="1"/>
  <c r="T36" i="1"/>
  <c r="T11" i="3" s="1"/>
  <c r="S50" i="1"/>
  <c r="S14" i="3" s="1"/>
  <c r="H20" i="1"/>
  <c r="H9" i="3" s="1"/>
  <c r="T20" i="1"/>
  <c r="T9" i="3" s="1"/>
  <c r="V41" i="1"/>
  <c r="U48" i="1"/>
  <c r="Q20" i="1"/>
  <c r="Q25" i="1" s="1"/>
  <c r="G58" i="3"/>
  <c r="T51" i="1"/>
  <c r="T13" i="3" s="1"/>
  <c r="T21" i="1"/>
  <c r="T57" i="3" s="1"/>
  <c r="T56" i="3" s="1"/>
  <c r="S49" i="1"/>
  <c r="V21" i="1"/>
  <c r="V57" i="3" s="1"/>
  <c r="V56" i="3" s="1"/>
  <c r="I20" i="1"/>
  <c r="I25" i="1" s="1"/>
  <c r="U25" i="1"/>
  <c r="U42" i="1"/>
  <c r="U4" i="3" s="1"/>
  <c r="V48" i="1"/>
  <c r="T48" i="1"/>
  <c r="S26" i="1"/>
  <c r="S51" i="1"/>
  <c r="S13" i="3" s="1"/>
  <c r="J20" i="1"/>
  <c r="J9" i="3" s="1"/>
  <c r="U20" i="1"/>
  <c r="U9" i="3" s="1"/>
  <c r="V42" i="1"/>
  <c r="V15" i="3" s="1"/>
  <c r="V49" i="1"/>
  <c r="E20" i="1"/>
  <c r="E9" i="3" s="1"/>
  <c r="H58" i="3"/>
  <c r="T50" i="1"/>
  <c r="T14" i="3" s="1"/>
  <c r="S40" i="1"/>
  <c r="S3" i="3" s="1"/>
  <c r="S36" i="1"/>
  <c r="S11" i="3" s="1"/>
  <c r="K20" i="1"/>
  <c r="K9" i="3" s="1"/>
  <c r="V25" i="1"/>
  <c r="U43" i="1"/>
  <c r="U5" i="3" s="1"/>
  <c r="V50" i="1"/>
  <c r="V14" i="3" s="1"/>
  <c r="V23" i="1"/>
  <c r="V83" i="3" s="1"/>
  <c r="L58" i="3"/>
  <c r="T42" i="1"/>
  <c r="T15" i="3" s="1"/>
  <c r="S43" i="1"/>
  <c r="S12" i="3" s="1"/>
  <c r="S48" i="1"/>
  <c r="T25" i="1"/>
  <c r="T31" i="1" s="1"/>
  <c r="T84" i="3" s="1"/>
  <c r="L20" i="1"/>
  <c r="L25" i="1" s="1"/>
  <c r="V20" i="1"/>
  <c r="V9" i="3" s="1"/>
  <c r="V43" i="1"/>
  <c r="V5" i="3" s="1"/>
  <c r="U51" i="1"/>
  <c r="U13" i="3" s="1"/>
  <c r="T23" i="1"/>
  <c r="T10" i="3" s="1"/>
  <c r="S41" i="1"/>
  <c r="C16" i="1"/>
  <c r="C53" i="5" s="1"/>
  <c r="M20" i="1"/>
  <c r="M25" i="1" s="1"/>
  <c r="V51" i="1"/>
  <c r="V13" i="3" s="1"/>
  <c r="C5" i="4"/>
  <c r="S46" i="4" s="1"/>
  <c r="U40" i="1"/>
  <c r="U3" i="3" s="1"/>
  <c r="T26" i="1"/>
  <c r="S23" i="1"/>
  <c r="S10" i="3" s="1"/>
  <c r="S25" i="1"/>
  <c r="C20" i="1"/>
  <c r="N20" i="1"/>
  <c r="N9" i="3" s="1"/>
  <c r="N58" i="3"/>
  <c r="T43" i="1"/>
  <c r="T5" i="3" s="1"/>
  <c r="S42" i="1"/>
  <c r="S15" i="3" s="1"/>
  <c r="U23" i="1"/>
  <c r="U10" i="3" s="1"/>
  <c r="C21" i="1"/>
  <c r="C26" i="1" s="1"/>
  <c r="O20" i="1"/>
  <c r="O25" i="1" s="1"/>
  <c r="A20" i="1"/>
  <c r="B9" i="3" s="1"/>
  <c r="U37" i="1"/>
  <c r="U49" i="1"/>
  <c r="U50" i="1"/>
  <c r="U14" i="3" s="1"/>
  <c r="D36" i="1"/>
  <c r="T18" i="4"/>
  <c r="B46" i="3" l="1"/>
  <c r="U58" i="3"/>
  <c r="B60" i="3"/>
  <c r="P58" i="3"/>
  <c r="O58" i="3"/>
  <c r="B58" i="3"/>
  <c r="V58" i="3"/>
  <c r="T58" i="3"/>
  <c r="J58" i="3"/>
  <c r="Q58" i="3"/>
  <c r="K58" i="3"/>
  <c r="F58" i="3"/>
  <c r="I58" i="3"/>
  <c r="C58" i="3"/>
  <c r="E58" i="3"/>
  <c r="D58" i="3"/>
  <c r="S58" i="3"/>
  <c r="R58" i="3"/>
  <c r="V10" i="3"/>
  <c r="O9" i="3"/>
  <c r="T29" i="1"/>
  <c r="S31" i="4"/>
  <c r="T83" i="3"/>
  <c r="D8" i="3"/>
  <c r="F9" i="3"/>
  <c r="A24" i="4"/>
  <c r="S18" i="4"/>
  <c r="V44" i="4"/>
  <c r="T47" i="4"/>
  <c r="T45" i="4"/>
  <c r="T28" i="4"/>
  <c r="S34" i="4"/>
  <c r="V45" i="4"/>
  <c r="U28" i="4"/>
  <c r="U21" i="4"/>
  <c r="V28" i="4"/>
  <c r="U44" i="4"/>
  <c r="T24" i="4"/>
  <c r="S30" i="1"/>
  <c r="V18" i="4"/>
  <c r="A18" i="4"/>
  <c r="T34" i="4"/>
  <c r="U19" i="4"/>
  <c r="I9" i="3"/>
  <c r="T46" i="4"/>
  <c r="S21" i="4"/>
  <c r="V32" i="4"/>
  <c r="V19" i="4"/>
  <c r="A55" i="1"/>
  <c r="C68" i="5" s="1"/>
  <c r="T31" i="4"/>
  <c r="U27" i="4"/>
  <c r="V12" i="3"/>
  <c r="C33" i="2"/>
  <c r="C42" i="2" s="1"/>
  <c r="C46" i="2" s="1"/>
  <c r="U12" i="3"/>
  <c r="U15" i="3"/>
  <c r="T12" i="3"/>
  <c r="P23" i="4"/>
  <c r="P18" i="4" s="1"/>
  <c r="L9" i="3"/>
  <c r="K25" i="1"/>
  <c r="K29" i="1" s="1"/>
  <c r="J25" i="1"/>
  <c r="H25" i="1"/>
  <c r="G29" i="1" s="1"/>
  <c r="E25" i="1"/>
  <c r="E29" i="1" s="1"/>
  <c r="D9" i="3"/>
  <c r="U34" i="4"/>
  <c r="S29" i="1"/>
  <c r="A26" i="4"/>
  <c r="E9" i="1"/>
  <c r="E2" i="3" s="1"/>
  <c r="U31" i="4"/>
  <c r="D43" i="3"/>
  <c r="U33" i="4"/>
  <c r="U18" i="4"/>
  <c r="D55" i="3"/>
  <c r="V4" i="3"/>
  <c r="U83" i="3"/>
  <c r="D11" i="3"/>
  <c r="V23" i="4"/>
  <c r="V37" i="4" s="1"/>
  <c r="S5" i="3"/>
  <c r="C23" i="1"/>
  <c r="C83" i="3" s="1"/>
  <c r="S4" i="3"/>
  <c r="T30" i="1"/>
  <c r="D21" i="1"/>
  <c r="R25" i="1"/>
  <c r="R23" i="4" s="1"/>
  <c r="Q9" i="3"/>
  <c r="O29" i="1"/>
  <c r="P29" i="1"/>
  <c r="P9" i="3"/>
  <c r="N25" i="1"/>
  <c r="N29" i="1" s="1"/>
  <c r="M9" i="3"/>
  <c r="G9" i="3"/>
  <c r="F29" i="1"/>
  <c r="D37" i="1"/>
  <c r="C25" i="1"/>
  <c r="C9" i="3"/>
  <c r="C37" i="1"/>
  <c r="L29" i="1"/>
  <c r="S31" i="1"/>
  <c r="S84" i="3" s="1"/>
  <c r="V38" i="4"/>
  <c r="U30" i="1"/>
  <c r="V31" i="1"/>
  <c r="V84" i="3" s="1"/>
  <c r="U29" i="1"/>
  <c r="U31" i="1"/>
  <c r="U84" i="3" s="1"/>
  <c r="V30" i="1"/>
  <c r="V29" i="1"/>
  <c r="H13" i="4"/>
  <c r="L23" i="4"/>
  <c r="V21" i="4"/>
  <c r="C7" i="4"/>
  <c r="T23" i="4"/>
  <c r="T32" i="4"/>
  <c r="C57" i="3"/>
  <c r="S83" i="3"/>
  <c r="S19" i="4"/>
  <c r="D82" i="3"/>
  <c r="I23" i="4"/>
  <c r="T19" i="4"/>
  <c r="S44" i="4"/>
  <c r="A19" i="4"/>
  <c r="U45" i="4"/>
  <c r="V27" i="4"/>
  <c r="S24" i="4"/>
  <c r="G23" i="4"/>
  <c r="M23" i="4"/>
  <c r="V46" i="4"/>
  <c r="T21" i="4"/>
  <c r="V31" i="4"/>
  <c r="V34" i="4"/>
  <c r="S32" i="4"/>
  <c r="S47" i="4"/>
  <c r="O23" i="4"/>
  <c r="O18" i="4" s="1"/>
  <c r="R18" i="4"/>
  <c r="S23" i="4"/>
  <c r="T4" i="3"/>
  <c r="V47" i="4"/>
  <c r="S28" i="4"/>
  <c r="U46" i="4"/>
  <c r="T44" i="4"/>
  <c r="U24" i="4"/>
  <c r="S27" i="4"/>
  <c r="U23" i="4"/>
  <c r="V24" i="4"/>
  <c r="D23" i="4"/>
  <c r="F23" i="4"/>
  <c r="F18" i="4" s="1"/>
  <c r="Q23" i="4"/>
  <c r="T27" i="4"/>
  <c r="U32" i="4"/>
  <c r="U47" i="4"/>
  <c r="V33" i="4"/>
  <c r="S45" i="4"/>
  <c r="H23" i="4"/>
  <c r="S33" i="4"/>
  <c r="D49" i="1" l="1"/>
  <c r="D29" i="1"/>
  <c r="E23" i="4"/>
  <c r="V39" i="4"/>
  <c r="R31" i="1"/>
  <c r="R84" i="3" s="1"/>
  <c r="R30" i="1"/>
  <c r="C49" i="1"/>
  <c r="C42" i="1"/>
  <c r="C4" i="3" s="1"/>
  <c r="J29" i="1"/>
  <c r="C10" i="3"/>
  <c r="K23" i="4"/>
  <c r="K18" i="4" s="1"/>
  <c r="J23" i="4"/>
  <c r="J18" i="4" s="1"/>
  <c r="A51" i="4" s="1"/>
  <c r="C54" i="2"/>
  <c r="C55" i="2"/>
  <c r="C50" i="1"/>
  <c r="C14" i="3" s="1"/>
  <c r="D50" i="1"/>
  <c r="D14" i="3" s="1"/>
  <c r="C43" i="1"/>
  <c r="C5" i="3" s="1"/>
  <c r="C51" i="1"/>
  <c r="C13" i="3" s="1"/>
  <c r="D51" i="1"/>
  <c r="D13" i="3" s="1"/>
  <c r="C40" i="1"/>
  <c r="C3" i="3" s="1"/>
  <c r="D48" i="1"/>
  <c r="C56" i="2"/>
  <c r="C41" i="1"/>
  <c r="C48" i="1"/>
  <c r="I59" i="3"/>
  <c r="I60" i="3" s="1"/>
  <c r="G59" i="3"/>
  <c r="G60" i="3" s="1"/>
  <c r="J59" i="3"/>
  <c r="J60" i="3" s="1"/>
  <c r="E59" i="3"/>
  <c r="E60" i="3" s="1"/>
  <c r="M59" i="3"/>
  <c r="M60" i="3" s="1"/>
  <c r="Q59" i="3"/>
  <c r="Q60" i="3" s="1"/>
  <c r="K59" i="3"/>
  <c r="K60" i="3" s="1"/>
  <c r="R59" i="3"/>
  <c r="R60" i="3" s="1"/>
  <c r="Q46" i="3"/>
  <c r="U59" i="3"/>
  <c r="U60" i="3" s="1"/>
  <c r="P59" i="3"/>
  <c r="P60" i="3" s="1"/>
  <c r="H59" i="3"/>
  <c r="H60" i="3" s="1"/>
  <c r="T46" i="3"/>
  <c r="F46" i="3"/>
  <c r="C59" i="3"/>
  <c r="C60" i="3" s="1"/>
  <c r="O59" i="3"/>
  <c r="O60" i="3" s="1"/>
  <c r="L59" i="3"/>
  <c r="L60" i="3" s="1"/>
  <c r="D46" i="3"/>
  <c r="D44" i="3" s="1"/>
  <c r="D45" i="3" s="1"/>
  <c r="P46" i="3"/>
  <c r="N59" i="3"/>
  <c r="N60" i="3" s="1"/>
  <c r="C59" i="5"/>
  <c r="C57" i="2"/>
  <c r="S59" i="3"/>
  <c r="S60" i="3" s="1"/>
  <c r="T59" i="3"/>
  <c r="T60" i="3" s="1"/>
  <c r="S46" i="3"/>
  <c r="D59" i="3"/>
  <c r="D60" i="3" s="1"/>
  <c r="M46" i="3"/>
  <c r="E46" i="3"/>
  <c r="E44" i="3" s="1"/>
  <c r="E45" i="3" s="1"/>
  <c r="K46" i="3"/>
  <c r="F59" i="3"/>
  <c r="F60" i="3" s="1"/>
  <c r="R46" i="3"/>
  <c r="H46" i="3"/>
  <c r="I46" i="3"/>
  <c r="C46" i="3"/>
  <c r="C44" i="3" s="1"/>
  <c r="C45" i="3" s="1"/>
  <c r="J46" i="3"/>
  <c r="O46" i="3"/>
  <c r="L46" i="3"/>
  <c r="G46" i="3"/>
  <c r="N46" i="3"/>
  <c r="V46" i="3"/>
  <c r="U46" i="3"/>
  <c r="V59" i="3"/>
  <c r="V60" i="3" s="1"/>
  <c r="M29" i="1"/>
  <c r="N23" i="4"/>
  <c r="I29" i="1"/>
  <c r="H29" i="1"/>
  <c r="D23" i="1"/>
  <c r="D83" i="3" s="1"/>
  <c r="D41" i="1"/>
  <c r="D57" i="3"/>
  <c r="D26" i="1"/>
  <c r="C31" i="1" s="1"/>
  <c r="C84" i="3" s="1"/>
  <c r="D43" i="1"/>
  <c r="D40" i="1"/>
  <c r="D3" i="3" s="1"/>
  <c r="F9" i="1"/>
  <c r="E21" i="1"/>
  <c r="E55" i="3"/>
  <c r="E43" i="3"/>
  <c r="E8" i="3"/>
  <c r="E82" i="3"/>
  <c r="E36" i="1"/>
  <c r="E49" i="1" s="1"/>
  <c r="C30" i="1"/>
  <c r="D42" i="1"/>
  <c r="D4" i="3" s="1"/>
  <c r="R29" i="1"/>
  <c r="Q29" i="1"/>
  <c r="C29" i="1"/>
  <c r="C23" i="4"/>
  <c r="C18" i="4" s="1"/>
  <c r="C19" i="4" s="1"/>
  <c r="C24" i="4" s="1"/>
  <c r="F27" i="4"/>
  <c r="F19" i="4"/>
  <c r="F24" i="4" s="1"/>
  <c r="H18" i="4"/>
  <c r="H27" i="4" s="1"/>
  <c r="T37" i="4"/>
  <c r="T39" i="4"/>
  <c r="T38" i="4"/>
  <c r="R39" i="4"/>
  <c r="R38" i="4"/>
  <c r="R37" i="4"/>
  <c r="I13" i="4"/>
  <c r="U37" i="4"/>
  <c r="U38" i="4"/>
  <c r="U39" i="4"/>
  <c r="Q18" i="4"/>
  <c r="P37" i="4" s="1"/>
  <c r="Q37" i="4"/>
  <c r="I18" i="4"/>
  <c r="E18" i="4"/>
  <c r="E37" i="4" s="1"/>
  <c r="G18" i="4"/>
  <c r="F37" i="4" s="1"/>
  <c r="D18" i="4"/>
  <c r="S38" i="4"/>
  <c r="S39" i="4"/>
  <c r="S37" i="4"/>
  <c r="N18" i="4"/>
  <c r="N37" i="4" s="1"/>
  <c r="L18" i="4"/>
  <c r="O37" i="4"/>
  <c r="M18" i="4"/>
  <c r="C15" i="3" l="1"/>
  <c r="D10" i="3"/>
  <c r="K37" i="4"/>
  <c r="J37" i="4"/>
  <c r="C12" i="3"/>
  <c r="C62" i="5"/>
  <c r="D56" i="3"/>
  <c r="C56" i="3"/>
  <c r="E50" i="1"/>
  <c r="E14" i="3" s="1"/>
  <c r="E51" i="1"/>
  <c r="E13" i="3" s="1"/>
  <c r="E48" i="1"/>
  <c r="C33" i="4"/>
  <c r="C32" i="4"/>
  <c r="D15" i="3"/>
  <c r="F43" i="3"/>
  <c r="F82" i="3"/>
  <c r="G9" i="1"/>
  <c r="F8" i="3"/>
  <c r="F21" i="1"/>
  <c r="E30" i="1" s="1"/>
  <c r="F55" i="3"/>
  <c r="F36" i="1"/>
  <c r="F44" i="3"/>
  <c r="F45" i="3" s="1"/>
  <c r="F2" i="3"/>
  <c r="D5" i="3"/>
  <c r="D12" i="3"/>
  <c r="E11" i="3"/>
  <c r="E37" i="1"/>
  <c r="E57" i="3"/>
  <c r="E56" i="3" s="1"/>
  <c r="E23" i="1"/>
  <c r="E26" i="1"/>
  <c r="D31" i="1" s="1"/>
  <c r="D84" i="3" s="1"/>
  <c r="E40" i="1"/>
  <c r="E3" i="3" s="1"/>
  <c r="E43" i="1"/>
  <c r="E41" i="1"/>
  <c r="E42" i="1"/>
  <c r="D30" i="1"/>
  <c r="L37" i="4"/>
  <c r="H28" i="4"/>
  <c r="H45" i="4"/>
  <c r="H46" i="4"/>
  <c r="H47" i="4"/>
  <c r="C31" i="4"/>
  <c r="C27" i="4"/>
  <c r="C46" i="4" s="1"/>
  <c r="C21" i="4"/>
  <c r="C34" i="4"/>
  <c r="I19" i="4"/>
  <c r="I21" i="4" s="1"/>
  <c r="I31" i="4"/>
  <c r="I34" i="4"/>
  <c r="I37" i="4"/>
  <c r="M37" i="4"/>
  <c r="G19" i="4"/>
  <c r="G33" i="4" s="1"/>
  <c r="G27" i="4"/>
  <c r="H19" i="4"/>
  <c r="H32" i="4" s="1"/>
  <c r="G37" i="4"/>
  <c r="E27" i="4"/>
  <c r="E19" i="4"/>
  <c r="E34" i="4" s="1"/>
  <c r="H44" i="4"/>
  <c r="F31" i="4"/>
  <c r="D27" i="4"/>
  <c r="D19" i="4"/>
  <c r="D34" i="4" s="1"/>
  <c r="D37" i="4"/>
  <c r="I27" i="4"/>
  <c r="I28" i="4" s="1"/>
  <c r="I45" i="4"/>
  <c r="J13" i="4"/>
  <c r="F33" i="4"/>
  <c r="F21" i="4"/>
  <c r="F34" i="4"/>
  <c r="H37" i="4"/>
  <c r="F32" i="4"/>
  <c r="C37" i="4"/>
  <c r="F44" i="4"/>
  <c r="F46" i="4"/>
  <c r="F45" i="4"/>
  <c r="F28" i="4"/>
  <c r="F47" i="4"/>
  <c r="E21" i="4" l="1"/>
  <c r="I46" i="4"/>
  <c r="I32" i="4"/>
  <c r="D31" i="4"/>
  <c r="D33" i="4"/>
  <c r="D32" i="4"/>
  <c r="E15" i="3"/>
  <c r="E4" i="3"/>
  <c r="D21" i="4"/>
  <c r="E12" i="3"/>
  <c r="E5" i="3"/>
  <c r="F49" i="1"/>
  <c r="F50" i="1"/>
  <c r="F14" i="3" s="1"/>
  <c r="F11" i="3"/>
  <c r="F37" i="1"/>
  <c r="F51" i="1"/>
  <c r="F13" i="3" s="1"/>
  <c r="F48" i="1"/>
  <c r="I33" i="4"/>
  <c r="F23" i="1"/>
  <c r="F43" i="1"/>
  <c r="F57" i="3"/>
  <c r="F56" i="3" s="1"/>
  <c r="F26" i="1"/>
  <c r="E31" i="1" s="1"/>
  <c r="E84" i="3" s="1"/>
  <c r="F42" i="1"/>
  <c r="F40" i="1"/>
  <c r="F3" i="3" s="1"/>
  <c r="F41" i="1"/>
  <c r="E10" i="3"/>
  <c r="E83" i="3"/>
  <c r="G2" i="3"/>
  <c r="G82" i="3"/>
  <c r="G44" i="3"/>
  <c r="G45" i="3" s="1"/>
  <c r="G36" i="1"/>
  <c r="H9" i="1"/>
  <c r="G43" i="3"/>
  <c r="G8" i="3"/>
  <c r="G21" i="1"/>
  <c r="F30" i="1" s="1"/>
  <c r="G55" i="3"/>
  <c r="C47" i="4"/>
  <c r="C44" i="4"/>
  <c r="C28" i="4"/>
  <c r="C45" i="4"/>
  <c r="H24" i="4"/>
  <c r="H38" i="4"/>
  <c r="E33" i="4"/>
  <c r="H31" i="4"/>
  <c r="I44" i="4"/>
  <c r="E45" i="4"/>
  <c r="E44" i="4"/>
  <c r="E46" i="4"/>
  <c r="E28" i="4"/>
  <c r="E47" i="4"/>
  <c r="H33" i="4"/>
  <c r="F38" i="4"/>
  <c r="I47" i="4"/>
  <c r="E31" i="4"/>
  <c r="H21" i="4"/>
  <c r="K13" i="4"/>
  <c r="J27" i="4"/>
  <c r="J46" i="4" s="1"/>
  <c r="J19" i="4"/>
  <c r="A52" i="4" s="1"/>
  <c r="G28" i="4"/>
  <c r="G46" i="4"/>
  <c r="G44" i="4"/>
  <c r="G45" i="4"/>
  <c r="G47" i="4"/>
  <c r="G34" i="4"/>
  <c r="H34" i="4"/>
  <c r="D24" i="4"/>
  <c r="D38" i="4"/>
  <c r="C38" i="4"/>
  <c r="E32" i="4"/>
  <c r="G32" i="4"/>
  <c r="D28" i="4"/>
  <c r="D47" i="4"/>
  <c r="D45" i="4"/>
  <c r="D44" i="4"/>
  <c r="D46" i="4"/>
  <c r="I24" i="4"/>
  <c r="G24" i="4"/>
  <c r="G38" i="4"/>
  <c r="E24" i="4"/>
  <c r="E39" i="4" s="1"/>
  <c r="E38" i="4"/>
  <c r="G31" i="4"/>
  <c r="G21" i="4"/>
  <c r="G43" i="1" l="1"/>
  <c r="G42" i="1"/>
  <c r="G23" i="1"/>
  <c r="G41" i="1"/>
  <c r="G40" i="1"/>
  <c r="G3" i="3" s="1"/>
  <c r="G57" i="3"/>
  <c r="G56" i="3" s="1"/>
  <c r="G26" i="1"/>
  <c r="F31" i="1" s="1"/>
  <c r="F84" i="3" s="1"/>
  <c r="F15" i="3"/>
  <c r="F4" i="3"/>
  <c r="H44" i="3"/>
  <c r="H45" i="3" s="1"/>
  <c r="H55" i="3"/>
  <c r="H2" i="3"/>
  <c r="H82" i="3"/>
  <c r="I9" i="1"/>
  <c r="H36" i="1"/>
  <c r="H49" i="1" s="1"/>
  <c r="H21" i="1"/>
  <c r="G30" i="1" s="1"/>
  <c r="H43" i="3"/>
  <c r="H8" i="3"/>
  <c r="G49" i="1"/>
  <c r="G51" i="1"/>
  <c r="G13" i="3" s="1"/>
  <c r="G48" i="1"/>
  <c r="G50" i="1"/>
  <c r="G14" i="3" s="1"/>
  <c r="G11" i="3"/>
  <c r="G37" i="1"/>
  <c r="F12" i="3"/>
  <c r="F5" i="3"/>
  <c r="F83" i="3"/>
  <c r="F10" i="3"/>
  <c r="J47" i="4"/>
  <c r="A57" i="4" s="1"/>
  <c r="I38" i="4"/>
  <c r="J28" i="4"/>
  <c r="J44" i="4"/>
  <c r="H39" i="4"/>
  <c r="J45" i="4"/>
  <c r="A54" i="4"/>
  <c r="L13" i="4"/>
  <c r="K27" i="4"/>
  <c r="K28" i="4" s="1"/>
  <c r="K19" i="4"/>
  <c r="J38" i="4" s="1"/>
  <c r="G39" i="4"/>
  <c r="F39" i="4"/>
  <c r="J24" i="4"/>
  <c r="J21" i="4"/>
  <c r="A53" i="4" s="1"/>
  <c r="J31" i="4"/>
  <c r="J32" i="4"/>
  <c r="J33" i="4"/>
  <c r="A55" i="4"/>
  <c r="J34" i="4"/>
  <c r="C39" i="4"/>
  <c r="D39" i="4"/>
  <c r="A61" i="1" l="1"/>
  <c r="C98" i="5" s="1"/>
  <c r="K47" i="4"/>
  <c r="H41" i="1"/>
  <c r="H40" i="1"/>
  <c r="H3" i="3" s="1"/>
  <c r="H42" i="1"/>
  <c r="H57" i="3"/>
  <c r="H56" i="3" s="1"/>
  <c r="H43" i="1"/>
  <c r="H26" i="1"/>
  <c r="H23" i="1"/>
  <c r="K46" i="4"/>
  <c r="H51" i="1"/>
  <c r="H13" i="3" s="1"/>
  <c r="H48" i="1"/>
  <c r="H37" i="1"/>
  <c r="H50" i="1"/>
  <c r="H14" i="3" s="1"/>
  <c r="H11" i="3"/>
  <c r="K45" i="4"/>
  <c r="I82" i="3"/>
  <c r="I8" i="3"/>
  <c r="I2" i="3"/>
  <c r="I36" i="1"/>
  <c r="I48" i="1" s="1"/>
  <c r="I44" i="3"/>
  <c r="I45" i="3" s="1"/>
  <c r="J9" i="1"/>
  <c r="I43" i="3"/>
  <c r="I21" i="1"/>
  <c r="I55" i="3"/>
  <c r="G83" i="3"/>
  <c r="G10" i="3"/>
  <c r="G15" i="3"/>
  <c r="G4" i="3"/>
  <c r="G5" i="3"/>
  <c r="G12" i="3"/>
  <c r="K44" i="4"/>
  <c r="K24" i="4"/>
  <c r="K21" i="4"/>
  <c r="K33" i="4"/>
  <c r="K31" i="4"/>
  <c r="K32" i="4"/>
  <c r="K34" i="4"/>
  <c r="I39" i="4"/>
  <c r="M13" i="4"/>
  <c r="L27" i="4"/>
  <c r="L28" i="4" s="1"/>
  <c r="L19" i="4"/>
  <c r="I49" i="1" l="1"/>
  <c r="J44" i="3"/>
  <c r="J45" i="3" s="1"/>
  <c r="J82" i="3"/>
  <c r="J55" i="3"/>
  <c r="J8" i="3"/>
  <c r="J21" i="1"/>
  <c r="I30" i="1" s="1"/>
  <c r="J2" i="3"/>
  <c r="K9" i="1"/>
  <c r="J43" i="3"/>
  <c r="J36" i="1"/>
  <c r="I51" i="1"/>
  <c r="I13" i="3" s="1"/>
  <c r="I37" i="1"/>
  <c r="I50" i="1"/>
  <c r="I14" i="3" s="1"/>
  <c r="I11" i="3"/>
  <c r="G31" i="1"/>
  <c r="G84" i="3" s="1"/>
  <c r="H10" i="3"/>
  <c r="H83" i="3"/>
  <c r="H12" i="3"/>
  <c r="H5" i="3"/>
  <c r="H30" i="1"/>
  <c r="I23" i="1"/>
  <c r="I42" i="1"/>
  <c r="I43" i="1"/>
  <c r="I57" i="3"/>
  <c r="I56" i="3" s="1"/>
  <c r="I40" i="1"/>
  <c r="I3" i="3" s="1"/>
  <c r="I41" i="1"/>
  <c r="I26" i="1"/>
  <c r="H31" i="1" s="1"/>
  <c r="H84" i="3" s="1"/>
  <c r="H4" i="3"/>
  <c r="H15" i="3"/>
  <c r="L45" i="4"/>
  <c r="L47" i="4"/>
  <c r="L44" i="4"/>
  <c r="L46" i="4"/>
  <c r="N13" i="4"/>
  <c r="M27" i="4"/>
  <c r="M28" i="4" s="1"/>
  <c r="M19" i="4"/>
  <c r="J39" i="4"/>
  <c r="A56" i="4" s="1"/>
  <c r="L24" i="4"/>
  <c r="K39" i="4" s="1"/>
  <c r="L34" i="4"/>
  <c r="L32" i="4"/>
  <c r="L33" i="4"/>
  <c r="L21" i="4"/>
  <c r="L31" i="4"/>
  <c r="K38" i="4"/>
  <c r="I10" i="3" l="1"/>
  <c r="I83" i="3"/>
  <c r="J49" i="1"/>
  <c r="J11" i="3"/>
  <c r="J50" i="1"/>
  <c r="J14" i="3" s="1"/>
  <c r="J37" i="1"/>
  <c r="J48" i="1"/>
  <c r="K36" i="1"/>
  <c r="K49" i="1" s="1"/>
  <c r="K21" i="1"/>
  <c r="K43" i="3"/>
  <c r="K55" i="3"/>
  <c r="K8" i="3"/>
  <c r="L9" i="1"/>
  <c r="K2" i="3"/>
  <c r="K44" i="3"/>
  <c r="K45" i="3" s="1"/>
  <c r="K82" i="3"/>
  <c r="J40" i="1"/>
  <c r="J3" i="3" s="1"/>
  <c r="J41" i="1"/>
  <c r="J57" i="3"/>
  <c r="J56" i="3" s="1"/>
  <c r="J43" i="1"/>
  <c r="J23" i="1"/>
  <c r="A60" i="1"/>
  <c r="C90" i="5" s="1"/>
  <c r="A56" i="1"/>
  <c r="C70" i="5" s="1"/>
  <c r="J26" i="1"/>
  <c r="J42" i="1"/>
  <c r="A59" i="1"/>
  <c r="C87" i="5" s="1"/>
  <c r="I4" i="3"/>
  <c r="I15" i="3"/>
  <c r="J51" i="1"/>
  <c r="J13" i="3" s="1"/>
  <c r="I12" i="3"/>
  <c r="I5" i="3"/>
  <c r="M44" i="4"/>
  <c r="M46" i="4"/>
  <c r="M24" i="4"/>
  <c r="M31" i="4"/>
  <c r="M33" i="4"/>
  <c r="M34" i="4"/>
  <c r="M21" i="4"/>
  <c r="M32" i="4"/>
  <c r="L38" i="4"/>
  <c r="M45" i="4"/>
  <c r="M47" i="4"/>
  <c r="O13" i="4"/>
  <c r="N27" i="4"/>
  <c r="N28" i="4" s="1"/>
  <c r="N19" i="4"/>
  <c r="K51" i="1" l="1"/>
  <c r="K13" i="3" s="1"/>
  <c r="A57" i="1"/>
  <c r="C72" i="5" s="1"/>
  <c r="J10" i="3"/>
  <c r="J83" i="3"/>
  <c r="I31" i="1"/>
  <c r="I84" i="3" s="1"/>
  <c r="J12" i="3"/>
  <c r="J5" i="3"/>
  <c r="K50" i="1"/>
  <c r="K14" i="3" s="1"/>
  <c r="K37" i="1"/>
  <c r="K11" i="3"/>
  <c r="K26" i="1"/>
  <c r="J31" i="1" s="1"/>
  <c r="K57" i="3"/>
  <c r="K56" i="3" s="1"/>
  <c r="K43" i="1"/>
  <c r="K40" i="1"/>
  <c r="K3" i="3" s="1"/>
  <c r="K41" i="1"/>
  <c r="K42" i="1"/>
  <c r="J30" i="1"/>
  <c r="K23" i="1"/>
  <c r="K48" i="1"/>
  <c r="J4" i="3"/>
  <c r="J15" i="3"/>
  <c r="M9" i="1"/>
  <c r="L82" i="3"/>
  <c r="L44" i="3"/>
  <c r="L45" i="3" s="1"/>
  <c r="L36" i="1"/>
  <c r="L48" i="1" s="1"/>
  <c r="L21" i="1"/>
  <c r="L8" i="3"/>
  <c r="L2" i="3"/>
  <c r="L43" i="3"/>
  <c r="L55" i="3"/>
  <c r="N45" i="4"/>
  <c r="N47" i="4"/>
  <c r="P13" i="4"/>
  <c r="O27" i="4"/>
  <c r="O28" i="4" s="1"/>
  <c r="O19" i="4"/>
  <c r="N38" i="4" s="1"/>
  <c r="N44" i="4"/>
  <c r="L39" i="4"/>
  <c r="N24" i="4"/>
  <c r="M39" i="4" s="1"/>
  <c r="N21" i="4"/>
  <c r="N33" i="4"/>
  <c r="N34" i="4"/>
  <c r="N31" i="4"/>
  <c r="N32" i="4"/>
  <c r="N46" i="4"/>
  <c r="M38" i="4"/>
  <c r="J84" i="3" l="1"/>
  <c r="A58" i="1"/>
  <c r="C81" i="5" s="1"/>
  <c r="M43" i="3"/>
  <c r="M44" i="3"/>
  <c r="M45" i="3" s="1"/>
  <c r="M21" i="1"/>
  <c r="M8" i="3"/>
  <c r="M82" i="3"/>
  <c r="N9" i="1"/>
  <c r="M36" i="1"/>
  <c r="M49" i="1" s="1"/>
  <c r="M2" i="3"/>
  <c r="M55" i="3"/>
  <c r="K10" i="3"/>
  <c r="K83" i="3"/>
  <c r="K30" i="1"/>
  <c r="L41" i="1"/>
  <c r="L26" i="1"/>
  <c r="K31" i="1" s="1"/>
  <c r="K84" i="3" s="1"/>
  <c r="L23" i="1"/>
  <c r="L42" i="1"/>
  <c r="L43" i="1"/>
  <c r="L40" i="1"/>
  <c r="L3" i="3" s="1"/>
  <c r="L57" i="3"/>
  <c r="L56" i="3" s="1"/>
  <c r="L30" i="1"/>
  <c r="K4" i="3"/>
  <c r="K15" i="3"/>
  <c r="L11" i="3"/>
  <c r="L51" i="1"/>
  <c r="L13" i="3" s="1"/>
  <c r="L49" i="1"/>
  <c r="L37" i="1"/>
  <c r="L50" i="1"/>
  <c r="L14" i="3" s="1"/>
  <c r="K5" i="3"/>
  <c r="K12" i="3"/>
  <c r="O45" i="4"/>
  <c r="O46" i="4"/>
  <c r="O24" i="4"/>
  <c r="N39" i="4" s="1"/>
  <c r="O32" i="4"/>
  <c r="O34" i="4"/>
  <c r="O31" i="4"/>
  <c r="O21" i="4"/>
  <c r="O33" i="4"/>
  <c r="O47" i="4"/>
  <c r="P27" i="4"/>
  <c r="P28" i="4" s="1"/>
  <c r="Q13" i="4"/>
  <c r="P19" i="4"/>
  <c r="O38" i="4" s="1"/>
  <c r="O44" i="4"/>
  <c r="M48" i="1" l="1"/>
  <c r="M51" i="1"/>
  <c r="M13" i="3" s="1"/>
  <c r="L4" i="3"/>
  <c r="L15" i="3"/>
  <c r="L83" i="3"/>
  <c r="L10" i="3"/>
  <c r="M42" i="1"/>
  <c r="M57" i="3"/>
  <c r="M56" i="3" s="1"/>
  <c r="M43" i="1"/>
  <c r="M23" i="1"/>
  <c r="M41" i="1"/>
  <c r="M26" i="1"/>
  <c r="M40" i="1"/>
  <c r="M3" i="3" s="1"/>
  <c r="L12" i="3"/>
  <c r="L5" i="3"/>
  <c r="N8" i="3"/>
  <c r="N2" i="3"/>
  <c r="N82" i="3"/>
  <c r="N21" i="1"/>
  <c r="N43" i="3"/>
  <c r="O9" i="1"/>
  <c r="N36" i="1"/>
  <c r="N50" i="1" s="1"/>
  <c r="N14" i="3" s="1"/>
  <c r="N44" i="3"/>
  <c r="N45" i="3" s="1"/>
  <c r="N55" i="3"/>
  <c r="M50" i="1"/>
  <c r="M14" i="3" s="1"/>
  <c r="M11" i="3"/>
  <c r="M37" i="1"/>
  <c r="P45" i="4"/>
  <c r="Q27" i="4"/>
  <c r="Q28" i="4" s="1"/>
  <c r="R13" i="4"/>
  <c r="Q19" i="4"/>
  <c r="P46" i="4"/>
  <c r="P44" i="4"/>
  <c r="P24" i="4"/>
  <c r="O39" i="4" s="1"/>
  <c r="P33" i="4"/>
  <c r="P21" i="4"/>
  <c r="P34" i="4"/>
  <c r="P31" i="4"/>
  <c r="P32" i="4"/>
  <c r="P47" i="4"/>
  <c r="Q47" i="4" l="1"/>
  <c r="M10" i="3"/>
  <c r="M83" i="3"/>
  <c r="N51" i="1"/>
  <c r="N13" i="3" s="1"/>
  <c r="N11" i="3"/>
  <c r="N37" i="1"/>
  <c r="M15" i="3"/>
  <c r="M4" i="3"/>
  <c r="M30" i="1"/>
  <c r="N41" i="1"/>
  <c r="N23" i="1"/>
  <c r="N43" i="1"/>
  <c r="N26" i="1"/>
  <c r="M31" i="1" s="1"/>
  <c r="M84" i="3" s="1"/>
  <c r="N40" i="1"/>
  <c r="N3" i="3" s="1"/>
  <c r="N42" i="1"/>
  <c r="N57" i="3"/>
  <c r="N56" i="3" s="1"/>
  <c r="O43" i="3"/>
  <c r="O55" i="3"/>
  <c r="O2" i="3"/>
  <c r="P9" i="1"/>
  <c r="O21" i="1"/>
  <c r="O36" i="1"/>
  <c r="O82" i="3"/>
  <c r="O8" i="3"/>
  <c r="O44" i="3"/>
  <c r="O45" i="3" s="1"/>
  <c r="P38" i="4"/>
  <c r="L31" i="1"/>
  <c r="L84" i="3" s="1"/>
  <c r="S13" i="4"/>
  <c r="T13" i="4" s="1"/>
  <c r="U13" i="4" s="1"/>
  <c r="V13" i="4" s="1"/>
  <c r="R19" i="4"/>
  <c r="R27" i="4"/>
  <c r="R28" i="4" s="1"/>
  <c r="R47" i="4"/>
  <c r="R44" i="4"/>
  <c r="R45" i="4"/>
  <c r="R46" i="4"/>
  <c r="M12" i="3"/>
  <c r="M5" i="3"/>
  <c r="N48" i="1"/>
  <c r="N49" i="1"/>
  <c r="Q44" i="4"/>
  <c r="Q24" i="4"/>
  <c r="P39" i="4" s="1"/>
  <c r="Q21" i="4"/>
  <c r="Q32" i="4"/>
  <c r="Q34" i="4"/>
  <c r="Q31" i="4"/>
  <c r="Q33" i="4"/>
  <c r="Q45" i="4"/>
  <c r="Q46" i="4"/>
  <c r="N83" i="3" l="1"/>
  <c r="N10" i="3"/>
  <c r="P2" i="3"/>
  <c r="P21" i="1"/>
  <c r="P55" i="3"/>
  <c r="P43" i="3"/>
  <c r="Q9" i="1"/>
  <c r="P36" i="1"/>
  <c r="P8" i="3"/>
  <c r="P82" i="3"/>
  <c r="P44" i="3"/>
  <c r="P45" i="3" s="1"/>
  <c r="R24" i="4"/>
  <c r="Q39" i="4" s="1"/>
  <c r="R32" i="4"/>
  <c r="R31" i="4"/>
  <c r="R21" i="4"/>
  <c r="R33" i="4"/>
  <c r="R34" i="4"/>
  <c r="O51" i="1"/>
  <c r="O13" i="3" s="1"/>
  <c r="O11" i="3"/>
  <c r="O37" i="1"/>
  <c r="O49" i="1"/>
  <c r="Q38" i="4"/>
  <c r="N12" i="3"/>
  <c r="N5" i="3"/>
  <c r="O48" i="1"/>
  <c r="O50" i="1"/>
  <c r="O14" i="3" s="1"/>
  <c r="N15" i="3"/>
  <c r="N4" i="3"/>
  <c r="N30" i="1"/>
  <c r="O23" i="1"/>
  <c r="O57" i="3"/>
  <c r="O56" i="3" s="1"/>
  <c r="O43" i="1"/>
  <c r="O41" i="1"/>
  <c r="O26" i="1"/>
  <c r="N31" i="1" s="1"/>
  <c r="N84" i="3" s="1"/>
  <c r="O42" i="1"/>
  <c r="O40" i="1"/>
  <c r="O3" i="3" s="1"/>
  <c r="Q8" i="3" l="1"/>
  <c r="Q82" i="3"/>
  <c r="R9" i="1"/>
  <c r="Q44" i="3"/>
  <c r="Q45" i="3" s="1"/>
  <c r="Q43" i="3"/>
  <c r="Q36" i="1"/>
  <c r="Q49" i="1" s="1"/>
  <c r="Q21" i="1"/>
  <c r="Q55" i="3"/>
  <c r="Q2" i="3"/>
  <c r="P40" i="1"/>
  <c r="P3" i="3" s="1"/>
  <c r="P43" i="1"/>
  <c r="P41" i="1"/>
  <c r="P26" i="1"/>
  <c r="P57" i="3"/>
  <c r="P56" i="3" s="1"/>
  <c r="P42" i="1"/>
  <c r="P23" i="1"/>
  <c r="P50" i="1"/>
  <c r="P14" i="3" s="1"/>
  <c r="P48" i="1"/>
  <c r="P11" i="3"/>
  <c r="P37" i="1"/>
  <c r="P49" i="1"/>
  <c r="P51" i="1"/>
  <c r="P13" i="3" s="1"/>
  <c r="O5" i="3"/>
  <c r="O12" i="3"/>
  <c r="O83" i="3"/>
  <c r="O10" i="3"/>
  <c r="O4" i="3"/>
  <c r="O15" i="3"/>
  <c r="O30" i="1"/>
  <c r="Q50" i="1" l="1"/>
  <c r="Q14" i="3" s="1"/>
  <c r="Q48" i="1"/>
  <c r="Q37" i="1"/>
  <c r="Q11" i="3"/>
  <c r="Q51" i="1"/>
  <c r="Q13" i="3" s="1"/>
  <c r="Q57" i="3"/>
  <c r="Q56" i="3" s="1"/>
  <c r="Q26" i="1"/>
  <c r="Q23" i="1"/>
  <c r="P30" i="1"/>
  <c r="Q41" i="1"/>
  <c r="Q43" i="1"/>
  <c r="Q42" i="1"/>
  <c r="Q40" i="1"/>
  <c r="Q3" i="3" s="1"/>
  <c r="P10" i="3"/>
  <c r="P83" i="3"/>
  <c r="O31" i="1"/>
  <c r="O84" i="3" s="1"/>
  <c r="P5" i="3"/>
  <c r="P12" i="3"/>
  <c r="P15" i="3"/>
  <c r="P4" i="3"/>
  <c r="R21" i="1"/>
  <c r="Q30" i="1" s="1"/>
  <c r="R36" i="1"/>
  <c r="R48" i="1" s="1"/>
  <c r="R43" i="3"/>
  <c r="S9" i="1"/>
  <c r="R55" i="3"/>
  <c r="R82" i="3"/>
  <c r="R44" i="3"/>
  <c r="R45" i="3" s="1"/>
  <c r="R8" i="3"/>
  <c r="R2" i="3"/>
  <c r="Q5" i="3" l="1"/>
  <c r="Q12" i="3"/>
  <c r="R49" i="1"/>
  <c r="Q10" i="3"/>
  <c r="Q83" i="3"/>
  <c r="R51" i="1"/>
  <c r="R13" i="3" s="1"/>
  <c r="R26" i="1"/>
  <c r="Q31" i="1" s="1"/>
  <c r="Q84" i="3" s="1"/>
  <c r="R43" i="1"/>
  <c r="R12" i="3" s="1"/>
  <c r="R40" i="1"/>
  <c r="R3" i="3" s="1"/>
  <c r="R57" i="3"/>
  <c r="R56" i="3" s="1"/>
  <c r="R23" i="1"/>
  <c r="R41" i="1"/>
  <c r="R42" i="1"/>
  <c r="R50" i="1"/>
  <c r="R14" i="3" s="1"/>
  <c r="Q15" i="3"/>
  <c r="Q4" i="3"/>
  <c r="S55" i="3"/>
  <c r="S8" i="3"/>
  <c r="T9" i="1"/>
  <c r="S44" i="3"/>
  <c r="S45" i="3" s="1"/>
  <c r="S82" i="3"/>
  <c r="S2" i="3"/>
  <c r="S43" i="3"/>
  <c r="P31" i="1"/>
  <c r="P84" i="3" s="1"/>
  <c r="R11" i="3"/>
  <c r="R37" i="1"/>
  <c r="R5" i="3" l="1"/>
  <c r="R15" i="3"/>
  <c r="R4" i="3"/>
  <c r="R83" i="3"/>
  <c r="R10" i="3"/>
  <c r="T55" i="3"/>
  <c r="U9" i="1"/>
  <c r="T8" i="3"/>
  <c r="T2" i="3"/>
  <c r="T43" i="3"/>
  <c r="T44" i="3"/>
  <c r="T45" i="3" s="1"/>
  <c r="T82" i="3"/>
  <c r="U44" i="3" l="1"/>
  <c r="U45" i="3" s="1"/>
  <c r="U8" i="3"/>
  <c r="U82" i="3"/>
  <c r="U2" i="3"/>
  <c r="V9" i="1"/>
  <c r="U55" i="3"/>
  <c r="U43" i="3"/>
  <c r="V2" i="3" l="1"/>
  <c r="V55" i="3"/>
  <c r="V43" i="3"/>
  <c r="V82" i="3"/>
  <c r="V8" i="3"/>
  <c r="V44" i="3"/>
  <c r="V45" i="3" s="1"/>
</calcChain>
</file>

<file path=xl/sharedStrings.xml><?xml version="1.0" encoding="utf-8"?>
<sst xmlns="http://schemas.openxmlformats.org/spreadsheetml/2006/main" count="223" uniqueCount="170">
  <si>
    <t>Over Operating Costs</t>
  </si>
  <si>
    <t>Over Operating &amp; Labour Costs</t>
  </si>
  <si>
    <t>Over Operating &amp; Fixed Costs</t>
  </si>
  <si>
    <t>Over Total Costs (Net Profit)</t>
  </si>
  <si>
    <t>%</t>
  </si>
  <si>
    <t>lbs</t>
  </si>
  <si>
    <t>Operating Interest Rate</t>
  </si>
  <si>
    <t>Printed:</t>
  </si>
  <si>
    <t xml:space="preserve">Created and maintained by </t>
  </si>
  <si>
    <t xml:space="preserve">For more information, contact your local </t>
  </si>
  <si>
    <t>Roy Arnott</t>
  </si>
  <si>
    <t>Benjamin Hamm</t>
  </si>
  <si>
    <r>
      <t xml:space="preserve">*** Enter changes to values to items in </t>
    </r>
    <r>
      <rPr>
        <b/>
        <sz val="12"/>
        <color indexed="12"/>
        <rFont val="Arial"/>
        <family val="2"/>
      </rPr>
      <t>BLUE</t>
    </r>
    <r>
      <rPr>
        <b/>
        <sz val="12"/>
        <color indexed="48"/>
        <rFont val="Arial"/>
        <family val="2"/>
      </rPr>
      <t xml:space="preserve"> </t>
    </r>
    <r>
      <rPr>
        <b/>
        <sz val="12"/>
        <rFont val="Arial"/>
        <family val="2"/>
      </rPr>
      <t>only ***</t>
    </r>
  </si>
  <si>
    <t>Farm Management Specialist</t>
  </si>
  <si>
    <t xml:space="preserve">                                         </t>
  </si>
  <si>
    <r>
      <rPr>
        <b/>
        <sz val="10"/>
        <rFont val="Arial"/>
        <family val="2"/>
      </rPr>
      <t xml:space="preserve">Note: </t>
    </r>
    <r>
      <rPr>
        <sz val="10"/>
        <rFont val="Arial"/>
        <family val="2"/>
      </rPr>
      <t>This budget is only a guide and is not intended as an in-depth study of the cost of production of this industry. Interpretation and use of this information is the responsibility of the user</t>
    </r>
  </si>
  <si>
    <t>A.  Operating Costs</t>
  </si>
  <si>
    <t>Cost/Cow</t>
  </si>
  <si>
    <t>1.  Feed Costs</t>
  </si>
  <si>
    <t xml:space="preserve">    1.01   Grain and Concentrates</t>
  </si>
  <si>
    <t xml:space="preserve">    1.02   Forages</t>
  </si>
  <si>
    <t xml:space="preserve">    1.03   Salt &amp; Minerals</t>
  </si>
  <si>
    <t xml:space="preserve">    1.04   Extended Grazing Forages</t>
  </si>
  <si>
    <t>Total Feed Cost</t>
  </si>
  <si>
    <t>2.  Other Operating Costs</t>
  </si>
  <si>
    <t/>
  </si>
  <si>
    <t xml:space="preserve">    2.01   Straw</t>
  </si>
  <si>
    <t xml:space="preserve">    2.02   Veterinary Medicine &amp; Supplies</t>
  </si>
  <si>
    <t xml:space="preserve">    2.03   Breeding Costs</t>
  </si>
  <si>
    <t xml:space="preserve">    2.04   Fuel, Maintenance &amp; Repairs</t>
  </si>
  <si>
    <t xml:space="preserve">    2.05   Utilities</t>
  </si>
  <si>
    <t xml:space="preserve">    2.06   Marketing &amp; Transportation</t>
  </si>
  <si>
    <t xml:space="preserve">    2.07   Death Loss</t>
  </si>
  <si>
    <t xml:space="preserve">    2.08   Manure Removal</t>
  </si>
  <si>
    <t xml:space="preserve">    2.09   Insurance</t>
  </si>
  <si>
    <t xml:space="preserve">    2.10   Herd Replacement</t>
  </si>
  <si>
    <t xml:space="preserve">    2.11   Pasture Rental</t>
  </si>
  <si>
    <t>Subtotal Operating Costs</t>
  </si>
  <si>
    <t>Total Operating Costs</t>
  </si>
  <si>
    <t>B.  Fixed Costs</t>
  </si>
  <si>
    <t>Total Fixed Costs</t>
  </si>
  <si>
    <t>Total Operating and Fixed Costs</t>
  </si>
  <si>
    <t>C.  Labour</t>
  </si>
  <si>
    <t>Total Cost of Production</t>
  </si>
  <si>
    <t>Insured Weight</t>
  </si>
  <si>
    <t>Number of Calves</t>
  </si>
  <si>
    <t>head</t>
  </si>
  <si>
    <t>Total Insured Weight</t>
  </si>
  <si>
    <t>Operating Costs</t>
  </si>
  <si>
    <t>Operating &amp; Fixed Costs</t>
  </si>
  <si>
    <t>Total Costs</t>
  </si>
  <si>
    <t>WLPIP Analysis</t>
  </si>
  <si>
    <t>WLPIP Premium Table</t>
  </si>
  <si>
    <t>Cow-Calf Production Costs - Input</t>
  </si>
  <si>
    <t xml:space="preserve">For more information on production costs, </t>
  </si>
  <si>
    <t>April, 2017</t>
  </si>
  <si>
    <t>. . . . . . . . . . . . . . . . . . . . . . . . . . . . . . . . . . . . . . . . . . . . . . . . . . . . . . . . . . . . . . . . . . . . . . . . . . . . . . . . . . . . . . . . . . . . . . . . . . . . . . . . . . . . . . . . . . . . . . . . . . .</t>
  </si>
  <si>
    <t>$ / cwt</t>
  </si>
  <si>
    <t>Operating &amp; Labour Costs</t>
  </si>
  <si>
    <t>Profitability Analysis</t>
  </si>
  <si>
    <t>Premium Cost (% of Insured Value)</t>
  </si>
  <si>
    <t>Premium Cost ($ per Head)</t>
  </si>
  <si>
    <t>Insured Value ($ per Head)</t>
  </si>
  <si>
    <t>Successfully managing and planning your business success starts with you. Contact your local                                                                           for the support, advice and resources you need to make sound decisions for the
continued success of your farm business.  If you have questions,                          and a                                                                    will contact you.</t>
  </si>
  <si>
    <t>WLPIP - Decision Calculator</t>
  </si>
  <si>
    <t>Cost per $1 of Increased Coverage</t>
  </si>
  <si>
    <t>Insured Index ($/cwt)</t>
  </si>
  <si>
    <t>Premium ($/cwt)</t>
  </si>
  <si>
    <t>Incremental Coverage Cost (compared to next lower level)</t>
  </si>
  <si>
    <t>Estimated Settlement Price</t>
  </si>
  <si>
    <t xml:space="preserve"> $/cwt</t>
  </si>
  <si>
    <t>WLPIP ($ per Head)</t>
  </si>
  <si>
    <t>January</t>
  </si>
  <si>
    <t>February</t>
  </si>
  <si>
    <t>March</t>
  </si>
  <si>
    <t>April</t>
  </si>
  <si>
    <t>May</t>
  </si>
  <si>
    <t>June</t>
  </si>
  <si>
    <t>July</t>
  </si>
  <si>
    <t>August</t>
  </si>
  <si>
    <t>September</t>
  </si>
  <si>
    <t>October</t>
  </si>
  <si>
    <t>November</t>
  </si>
  <si>
    <t>December</t>
  </si>
  <si>
    <t>Premium Table as of:</t>
  </si>
  <si>
    <t>Costs per Head (incl. WLPIP Premium) Not Covered By the WLPIP Insured Value</t>
  </si>
  <si>
    <t>Analysis Formulas:</t>
  </si>
  <si>
    <t>Labour</t>
  </si>
  <si>
    <t>Fixed Costs</t>
  </si>
  <si>
    <t>Average Calf Weight</t>
  </si>
  <si>
    <t>$/cwt Exposed Risk</t>
  </si>
  <si>
    <t>Potential Market Price</t>
  </si>
  <si>
    <t>$/cwt Reward = Market Price - B/E price pver total costs</t>
  </si>
  <si>
    <t>$/cwt Exposed Risk = B/E price over total costs - insured index</t>
  </si>
  <si>
    <t>B/E price over total costs = toal costs / # cwt</t>
  </si>
  <si>
    <t>Total Production Costs</t>
  </si>
  <si>
    <t>total</t>
  </si>
  <si>
    <t>Maximum WLPIP Premium</t>
  </si>
  <si>
    <t>***Note that you want to cap the max prememum, but you run out of room for animals and lbs.</t>
  </si>
  <si>
    <t>…………………</t>
  </si>
  <si>
    <t>This is now junk</t>
  </si>
  <si>
    <t>Maximum Insured Weight</t>
  </si>
  <si>
    <r>
      <t xml:space="preserve">*** Enter changes to values to items in </t>
    </r>
    <r>
      <rPr>
        <b/>
        <sz val="11"/>
        <color indexed="12"/>
        <rFont val="Arial"/>
        <family val="2"/>
      </rPr>
      <t>BLUE</t>
    </r>
    <r>
      <rPr>
        <b/>
        <sz val="11"/>
        <color indexed="48"/>
        <rFont val="Arial"/>
        <family val="2"/>
      </rPr>
      <t xml:space="preserve"> </t>
    </r>
    <r>
      <rPr>
        <b/>
        <sz val="11"/>
        <rFont val="Arial"/>
        <family val="2"/>
      </rPr>
      <t>only ***</t>
    </r>
  </si>
  <si>
    <t>Estimated Potential Market Price</t>
  </si>
  <si>
    <t>(used for Risk &amp; Reward analysis below)</t>
  </si>
  <si>
    <t>Click on Premiums and Settlements:</t>
  </si>
  <si>
    <t xml:space="preserve">Enter Insured Index ($/cwt) </t>
  </si>
  <si>
    <t xml:space="preserve">Enter Premiums ($/cwt) </t>
  </si>
  <si>
    <t xml:space="preserve">Enter Insured Weight (lbs) </t>
  </si>
  <si>
    <t>Enter the Insured Weight (lbs) in the calculator.  This could be the average calf market weight per head on your farm, for example - 575 lbs or simply the number of pounds per head that you would like to insure, for example - 100 lbs.</t>
  </si>
  <si>
    <t xml:space="preserve">Enter Number of Calves (head) </t>
  </si>
  <si>
    <t>Enter the number of Calves (head) in the calculator.  This could be the total number of market calves on your farm, for example - 100 head or simply the number of head that you would like to insure, for example - 10 head.</t>
  </si>
  <si>
    <t xml:space="preserve">Total Insured Weight (lbs) </t>
  </si>
  <si>
    <t xml:space="preserve">Enter Estimated Settlement Price ($/cwt) </t>
  </si>
  <si>
    <t>Review Premium Cost</t>
  </si>
  <si>
    <t>Review Insured Value</t>
  </si>
  <si>
    <t>Review Total Premium Cost</t>
  </si>
  <si>
    <t>Analysis Formulas Used:</t>
  </si>
  <si>
    <t>Step#5:  Profitability Analysis</t>
  </si>
  <si>
    <t>Review Incremental Coverage Cost Cost</t>
  </si>
  <si>
    <t>Step #5 - Profitability Analysis:</t>
  </si>
  <si>
    <t>Review Marginal Returns (Profitability)</t>
  </si>
  <si>
    <t>Review Cow-calf Cost of Production Values</t>
  </si>
  <si>
    <t>The cost per dollar of increased coverage to move up from the next lower coverage level to a higher level of coverage.</t>
  </si>
  <si>
    <t>Calf Crop (used for breakeven prices)</t>
  </si>
  <si>
    <t>$/cwt</t>
  </si>
  <si>
    <t>Breakeven Selling Price</t>
  </si>
  <si>
    <t>Operating, Fixed &amp; Labour Costs</t>
  </si>
  <si>
    <t>Step #4 - Estimated WLPIP Payments  &amp; Production Costs Not Covered:</t>
  </si>
  <si>
    <t>Step #1:  LPI Premium Table</t>
  </si>
  <si>
    <t>Step#2:  LPI - Insured Calves on Your Farm</t>
  </si>
  <si>
    <t>Step#3:  LPI Analysis - Premiums &amp; Insured Value</t>
  </si>
  <si>
    <t>Step#4:  Estimated LPI Payments &amp; Production Costs Not Covered Analysis</t>
  </si>
  <si>
    <t>LPI ($ per Head)</t>
  </si>
  <si>
    <t>Costs per Head (incl. LPI Premium) Not Covered By the LPI Insured Value</t>
  </si>
  <si>
    <t>LPI - Decision Calculator</t>
  </si>
  <si>
    <r>
      <rPr>
        <b/>
        <sz val="12"/>
        <rFont val="Arial"/>
        <family val="2"/>
      </rPr>
      <t>LPI Decision Calculator</t>
    </r>
    <r>
      <rPr>
        <sz val="12"/>
        <rFont val="Arial"/>
        <family val="2"/>
      </rPr>
      <t xml:space="preserve"> can be used by Manitoba farm producers to assist in the determination the LPI
 coverage levels to manage livestock price risk by setting a 'floor price' for their farm.  Follow the steps below to successfully use the calculator for your farm. </t>
    </r>
  </si>
  <si>
    <t xml:space="preserve">LPI Decision Calculator - User Guide </t>
  </si>
  <si>
    <t>Step #1 - LPI Premium Table:</t>
  </si>
  <si>
    <t>Go to LPI - Calf website</t>
  </si>
  <si>
    <r>
      <rPr>
        <b/>
        <sz val="12"/>
        <rFont val="Arial"/>
        <family val="2"/>
      </rPr>
      <t>Premiums</t>
    </r>
    <r>
      <rPr>
        <sz val="12"/>
        <rFont val="Arial"/>
        <family val="2"/>
      </rPr>
      <t xml:space="preserve"> - to get current LPI Premiums, </t>
    </r>
    <r>
      <rPr>
        <u/>
        <sz val="12"/>
        <rFont val="Arial"/>
        <family val="2"/>
      </rPr>
      <t>select program</t>
    </r>
    <r>
      <rPr>
        <sz val="12"/>
        <rFont val="Arial"/>
        <family val="2"/>
      </rPr>
      <t xml:space="preserve"> - from the dropdown menu (ie. 'LPI-Calf'), </t>
    </r>
    <r>
      <rPr>
        <u/>
        <sz val="12"/>
        <rFont val="Arial"/>
        <family val="2"/>
      </rPr>
      <t>select option</t>
    </r>
    <r>
      <rPr>
        <sz val="12"/>
        <rFont val="Arial"/>
        <family val="2"/>
      </rPr>
      <t xml:space="preserve"> - from the dropdown menu (ie. 'SaskMan'), </t>
    </r>
    <r>
      <rPr>
        <u/>
        <sz val="12"/>
        <rFont val="Arial"/>
        <family val="2"/>
      </rPr>
      <t>select date</t>
    </r>
    <r>
      <rPr>
        <sz val="12"/>
        <rFont val="Arial"/>
        <family val="2"/>
      </rPr>
      <t xml:space="preserve">, and click the green 'Go' button. </t>
    </r>
  </si>
  <si>
    <t>Step #2 - LPI Insured Calves on Your Farm:</t>
  </si>
  <si>
    <t xml:space="preserve">    2.12   Pasture Operating</t>
  </si>
  <si>
    <t xml:space="preserve">    2.14  Miscellaneous</t>
  </si>
  <si>
    <t xml:space="preserve">    2.15  Operating Interest</t>
  </si>
  <si>
    <t xml:space="preserve">    2.13  Hired Labour</t>
  </si>
  <si>
    <t xml:space="preserve">3.  Fixed Costs </t>
  </si>
  <si>
    <t xml:space="preserve">    3.03   Machinery &amp; Equipment</t>
  </si>
  <si>
    <t xml:space="preserve">    3.01   Livestock</t>
  </si>
  <si>
    <t xml:space="preserve">    3.02   Buildings </t>
  </si>
  <si>
    <t xml:space="preserve">    3.04   Pasture &amp; Fencing</t>
  </si>
  <si>
    <t>Step #3 - LPI Analysis - Premiums &amp; Insured Value:</t>
  </si>
  <si>
    <t xml:space="preserve">Total premium - if you have a maximum dollar amount that you have decided on for LPI, note the insured index ($/cwt) review the analysis in Step#4 and determine if it is a suitable level of risk coverage for your farm.   </t>
  </si>
  <si>
    <t>Review Estimated LPI Payment</t>
  </si>
  <si>
    <t>Review Production Costs Not Covered by the LPI Insured Price</t>
  </si>
  <si>
    <t xml:space="preserve">Knowing your farm's operating, fixed and labour costs not covered by each LPI Insured Price alongside your breakeven prices (in Step#2 above) can help you determine a LPI Insured Index ($/cwt) that adequately manages both your risk and liabilities. </t>
  </si>
  <si>
    <t>Knowing your farms profitability at the estimated settlement price plus the LPI payment can help you determine a LPI Insured Index ($/cwt) that adequately manages both your risk and liabilities.</t>
  </si>
  <si>
    <t>Costs Not Covered By LPI Insured Value</t>
  </si>
  <si>
    <t>LPI - Per Head</t>
  </si>
  <si>
    <t>Total Costs per Head (incl. LPI Premium) Not Covered By the LPI Insured Value</t>
  </si>
  <si>
    <t>Op. &amp; Fixed Costs per Head (incl. LPI Premium) Not Covered By the LPI Insured Value</t>
  </si>
  <si>
    <t>LPI - Monetizing Risk &amp; Reward ($/cwt)</t>
  </si>
  <si>
    <t>$/cwt LPI Covered Risk</t>
  </si>
  <si>
    <t>LPI - Risk &amp; Reward Analysis</t>
  </si>
  <si>
    <t>LPI Coverage of Total Costs (Risk)</t>
  </si>
  <si>
    <t>LPI - Insured Value Analysis</t>
  </si>
  <si>
    <t>February, 2024</t>
  </si>
  <si>
    <t>Enter the highest LPI Insured Index for the time period you would like to chose into the calculator.  For example, the 36 weeks 08-Feb-2024 highest Insured Index is $392 ($/cwt).</t>
  </si>
  <si>
    <t>Enter the corresponding LPI Premiums ($/cwt) for each Insured Index price into the calculator.  For example, the 36 weeks 08-Feb-2024, $392 ($/cwt) premium is $11.72 ($/cwt)</t>
  </si>
  <si>
    <t>Enter a potential Settlement Price ($/cwt) in the calculator.  This would ususally be a value below the highest insured index.  For example - $325/cwt.  This is used to estimate potential LPI program payments at a lower market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</si>
</sst>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64" formatCode="&quot;$&quot;#,##0.00_);\(&quot;$&quot;#,##0.00\)"/>
    <numFmt numFmtId="165" formatCode="&quot;$&quot;#,##0.00"/>
    <numFmt numFmtId="166" formatCode="&quot;$&quot;#,##0.00_);[Red]\(&quot;$&quot;#,##0.00\)"/>
    <numFmt numFmtId="167" formatCode="&quot;$&quot;#,##0_);[Red]\(&quot;$&quot;#,##0\)"/>
    <numFmt numFmtId="168" formatCode="#,##0.0_);[Red]\(#,##0.0\)"/>
    <numFmt numFmtId="169" formatCode="_-&quot;£&quot;* #,##0_-;\-&quot;£&quot;* #,##0_-;_-&quot;£&quot;* &quot;-&quot;_-;_-@_-"/>
    <numFmt numFmtId="170" formatCode="_-&quot;£&quot;* #,##0.00_-;\-&quot;£&quot;* #,##0.00_-;_-&quot;£&quot;* &quot;-&quot;??_-;_-@_-"/>
    <numFmt numFmtId="171" formatCode="&quot;$&quot;#,##0"/>
    <numFmt numFmtId="172" formatCode="&quot;$&quot;#,##0_);\(&quot;$&quot;#,##0\)"/>
    <numFmt numFmtId="173" formatCode="#,##0_ ;[Red]\-#,##0\ "/>
  </numFmts>
  <fonts count="35" x14ac:knownFonts="1">
    <font>
      <sz val="12"/>
      <name val="Arial"/>
    </font>
    <font>
      <sz val="10"/>
      <name val="Arial"/>
      <family val="2"/>
    </font>
    <font>
      <b/>
      <sz val="12"/>
      <name val="Arial"/>
      <family val="2"/>
    </font>
    <font>
      <sz val="14"/>
      <name val="Arial"/>
      <family val="2"/>
    </font>
    <font>
      <sz val="12"/>
      <name val="Arial"/>
      <family val="2"/>
    </font>
    <font>
      <b/>
      <u/>
      <sz val="12"/>
      <name val="Arial"/>
      <family val="2"/>
    </font>
    <font>
      <b/>
      <sz val="12"/>
      <color indexed="12"/>
      <name val="Arial"/>
      <family val="2"/>
    </font>
    <font>
      <sz val="10"/>
      <color indexed="12"/>
      <name val="Arial"/>
      <family val="2"/>
    </font>
    <font>
      <sz val="8"/>
      <name val="Arial"/>
      <family val="2"/>
    </font>
    <font>
      <b/>
      <sz val="10"/>
      <name val="Arial"/>
      <family val="2"/>
    </font>
    <font>
      <b/>
      <sz val="12"/>
      <color indexed="48"/>
      <name val="Arial"/>
      <family val="2"/>
    </font>
    <font>
      <u/>
      <sz val="12"/>
      <name val="Arial"/>
      <family val="2"/>
    </font>
    <font>
      <b/>
      <sz val="14"/>
      <name val="Arial"/>
      <family val="2"/>
    </font>
    <font>
      <sz val="11"/>
      <name val="Arial"/>
      <family val="2"/>
    </font>
    <font>
      <b/>
      <sz val="11"/>
      <name val="Arial"/>
      <family val="2"/>
    </font>
    <font>
      <b/>
      <sz val="11"/>
      <color indexed="12"/>
      <name val="Arial"/>
      <family val="2"/>
    </font>
    <font>
      <b/>
      <sz val="11"/>
      <color indexed="48"/>
      <name val="Arial"/>
      <family val="2"/>
    </font>
    <font>
      <u/>
      <sz val="10"/>
      <color theme="10"/>
      <name val="Arial"/>
      <family val="2"/>
    </font>
    <font>
      <u/>
      <sz val="11"/>
      <color theme="10"/>
      <name val="Calibri"/>
      <family val="2"/>
    </font>
    <font>
      <b/>
      <sz val="12"/>
      <color rgb="FF0000FF"/>
      <name val="Arial"/>
      <family val="2"/>
    </font>
    <font>
      <sz val="11"/>
      <color theme="1"/>
      <name val="Arial"/>
      <family val="2"/>
    </font>
    <font>
      <sz val="22"/>
      <color theme="1"/>
      <name val="Arial"/>
      <family val="2"/>
    </font>
    <font>
      <sz val="8"/>
      <color theme="1"/>
      <name val="Arial"/>
      <family val="2"/>
    </font>
    <font>
      <b/>
      <sz val="12"/>
      <color theme="1"/>
      <name val="Arial"/>
      <family val="2"/>
    </font>
    <font>
      <b/>
      <sz val="10"/>
      <color theme="1"/>
      <name val="Arial"/>
      <family val="2"/>
    </font>
    <font>
      <b/>
      <sz val="16"/>
      <color theme="1"/>
      <name val="Arial"/>
      <family val="2"/>
    </font>
    <font>
      <b/>
      <sz val="14"/>
      <color theme="0"/>
      <name val="Arial"/>
      <family val="2"/>
    </font>
    <font>
      <b/>
      <u/>
      <sz val="12"/>
      <color rgb="FF0000FF"/>
      <name val="Arial"/>
      <family val="2"/>
    </font>
    <font>
      <sz val="10"/>
      <color theme="1"/>
      <name val="Arial"/>
      <family val="2"/>
    </font>
    <font>
      <sz val="12"/>
      <color theme="1"/>
      <name val="Arial"/>
      <family val="2"/>
    </font>
    <font>
      <b/>
      <u/>
      <sz val="11"/>
      <color rgb="FF0000FF"/>
      <name val="Arial"/>
      <family val="2"/>
    </font>
    <font>
      <b/>
      <sz val="10"/>
      <color rgb="FF0000FF"/>
      <name val="Arial"/>
      <family val="2"/>
    </font>
    <font>
      <sz val="10"/>
      <color rgb="FF0000FF"/>
      <name val="Arial"/>
      <family val="2"/>
    </font>
    <font>
      <b/>
      <u/>
      <sz val="11"/>
      <color theme="10"/>
      <name val="Arial"/>
      <family val="2"/>
    </font>
    <font>
      <b/>
      <u/>
      <sz val="12"/>
      <color theme="10"/>
      <name val="Arial"/>
      <family val="2"/>
    </font>
  </fonts>
  <fills count="11">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1"/>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s>
  <cellStyleXfs count="28">
    <xf numFmtId="0" fontId="0" fillId="0" borderId="0">
      <alignment vertical="top"/>
    </xf>
    <xf numFmtId="167" fontId="4" fillId="0" borderId="0"/>
    <xf numFmtId="167" fontId="6" fillId="0" borderId="0">
      <protection locked="0"/>
    </xf>
    <xf numFmtId="166" fontId="4" fillId="0" borderId="0"/>
    <xf numFmtId="166" fontId="6" fillId="0" borderId="0">
      <protection locked="0"/>
    </xf>
    <xf numFmtId="38" fontId="4" fillId="0" borderId="0"/>
    <xf numFmtId="38" fontId="6" fillId="0" borderId="0">
      <protection locked="0"/>
    </xf>
    <xf numFmtId="168" fontId="4" fillId="0" borderId="0"/>
    <xf numFmtId="168" fontId="6" fillId="0" borderId="0">
      <protection locked="0"/>
    </xf>
    <xf numFmtId="40" fontId="4" fillId="0" borderId="0"/>
    <xf numFmtId="40" fontId="6" fillId="0" borderId="0">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0" fontId="1" fillId="0" borderId="0">
      <alignment vertical="top"/>
    </xf>
    <xf numFmtId="0" fontId="1" fillId="0" borderId="0">
      <alignment vertical="top"/>
    </xf>
    <xf numFmtId="165" fontId="4" fillId="0" borderId="0">
      <alignment vertical="top"/>
    </xf>
    <xf numFmtId="38" fontId="1" fillId="2" borderId="1"/>
    <xf numFmtId="38" fontId="7" fillId="0" borderId="1">
      <protection locked="0"/>
    </xf>
    <xf numFmtId="168" fontId="1" fillId="3" borderId="1"/>
    <xf numFmtId="168" fontId="7" fillId="0" borderId="1">
      <protection locked="0"/>
    </xf>
    <xf numFmtId="40" fontId="1" fillId="3" borderId="1"/>
    <xf numFmtId="40" fontId="7" fillId="0" borderId="1">
      <protection locked="0"/>
    </xf>
    <xf numFmtId="10" fontId="4" fillId="0" borderId="0"/>
    <xf numFmtId="10" fontId="7" fillId="4" borderId="1">
      <protection locked="0"/>
    </xf>
    <xf numFmtId="0" fontId="1" fillId="5" borderId="0"/>
    <xf numFmtId="169" fontId="1" fillId="0" borderId="0" applyFont="0" applyFill="0" applyBorder="0" applyAlignment="0" applyProtection="0"/>
    <xf numFmtId="170" fontId="1" fillId="0" borderId="0" applyFont="0" applyFill="0" applyBorder="0" applyAlignment="0" applyProtection="0"/>
  </cellStyleXfs>
  <cellXfs count="138">
    <xf numFmtId="0" fontId="0" fillId="0" borderId="0" xfId="0">
      <alignment vertical="top"/>
    </xf>
    <xf numFmtId="0" fontId="2" fillId="0" borderId="0" xfId="15" applyFont="1" applyAlignment="1"/>
    <xf numFmtId="0" fontId="3" fillId="0" borderId="0" xfId="15" applyFont="1" applyAlignment="1"/>
    <xf numFmtId="0" fontId="4" fillId="0" borderId="0" xfId="15" applyFont="1" applyAlignment="1"/>
    <xf numFmtId="3" fontId="3" fillId="0" borderId="0" xfId="0" applyNumberFormat="1" applyFont="1" applyAlignment="1"/>
    <xf numFmtId="3" fontId="4" fillId="0" borderId="0" xfId="0" applyNumberFormat="1" applyFont="1" applyAlignment="1"/>
    <xf numFmtId="0" fontId="5" fillId="0" borderId="0" xfId="15" applyFont="1" applyAlignment="1">
      <alignment horizontal="right"/>
    </xf>
    <xf numFmtId="165" fontId="6" fillId="0" borderId="0" xfId="4" applyNumberFormat="1">
      <protection locked="0"/>
    </xf>
    <xf numFmtId="0" fontId="1" fillId="0" borderId="0" xfId="15" applyAlignment="1"/>
    <xf numFmtId="165" fontId="19" fillId="0" borderId="0" xfId="15" applyNumberFormat="1" applyFont="1" applyAlignment="1" applyProtection="1">
      <protection locked="0"/>
    </xf>
    <xf numFmtId="3" fontId="0" fillId="0" borderId="0" xfId="0" applyNumberFormat="1" applyAlignment="1"/>
    <xf numFmtId="40" fontId="6" fillId="0" borderId="0" xfId="10">
      <protection locked="0"/>
    </xf>
    <xf numFmtId="38" fontId="6" fillId="0" borderId="0" xfId="6">
      <protection locked="0"/>
    </xf>
    <xf numFmtId="3" fontId="2" fillId="0" borderId="0" xfId="0" applyNumberFormat="1" applyFont="1" applyAlignment="1"/>
    <xf numFmtId="0" fontId="20" fillId="0" borderId="0" xfId="0" applyFont="1" applyAlignment="1"/>
    <xf numFmtId="0" fontId="20" fillId="0" borderId="0" xfId="0" applyFont="1" applyAlignment="1">
      <alignment horizontal="center"/>
    </xf>
    <xf numFmtId="0" fontId="0" fillId="0" borderId="0" xfId="0" applyAlignment="1"/>
    <xf numFmtId="0" fontId="21" fillId="0" borderId="0" xfId="0" applyFont="1" applyAlignment="1"/>
    <xf numFmtId="0" fontId="22" fillId="0" borderId="0" xfId="0" applyFont="1" applyAlignment="1">
      <alignment horizontal="right"/>
    </xf>
    <xf numFmtId="14" fontId="8" fillId="0" borderId="0" xfId="0" applyNumberFormat="1" applyFont="1" applyAlignment="1">
      <alignment horizontal="right"/>
    </xf>
    <xf numFmtId="0" fontId="23" fillId="0" borderId="0" xfId="0" applyFont="1" applyAlignment="1"/>
    <xf numFmtId="0" fontId="24" fillId="0" borderId="2" xfId="0" applyFont="1" applyBorder="1" applyAlignment="1">
      <alignment horizontal="left"/>
    </xf>
    <xf numFmtId="0" fontId="24" fillId="0" borderId="2" xfId="0" applyFont="1" applyBorder="1" applyAlignment="1">
      <alignment horizontal="left" wrapText="1"/>
    </xf>
    <xf numFmtId="0" fontId="0" fillId="0" borderId="2" xfId="0" applyBorder="1" applyAlignment="1"/>
    <xf numFmtId="0" fontId="2" fillId="0" borderId="0" xfId="0" applyFont="1" applyAlignment="1"/>
    <xf numFmtId="0" fontId="25" fillId="0" borderId="0" xfId="0" applyFont="1" applyAlignment="1"/>
    <xf numFmtId="0" fontId="4" fillId="0" borderId="0" xfId="0" applyFont="1" applyAlignment="1"/>
    <xf numFmtId="0" fontId="4" fillId="0" borderId="2" xfId="0" applyFont="1" applyBorder="1" applyAlignment="1"/>
    <xf numFmtId="0" fontId="23" fillId="0" borderId="2" xfId="0" applyFont="1" applyBorder="1" applyAlignment="1">
      <alignment horizontal="right"/>
    </xf>
    <xf numFmtId="0" fontId="23" fillId="0" borderId="3" xfId="0" applyFont="1" applyBorder="1" applyAlignment="1">
      <alignment horizontal="left" vertical="center"/>
    </xf>
    <xf numFmtId="0" fontId="23" fillId="0" borderId="2" xfId="0" applyFont="1" applyBorder="1" applyAlignment="1"/>
    <xf numFmtId="0" fontId="4" fillId="0" borderId="2" xfId="15" applyFont="1" applyBorder="1" applyAlignment="1"/>
    <xf numFmtId="164" fontId="5" fillId="0" borderId="0" xfId="0" applyNumberFormat="1" applyFont="1" applyAlignment="1">
      <alignment horizontal="right"/>
    </xf>
    <xf numFmtId="164" fontId="4" fillId="0" borderId="0" xfId="0" applyNumberFormat="1" applyFont="1" applyAlignment="1"/>
    <xf numFmtId="165" fontId="11" fillId="0" borderId="0" xfId="9" applyNumberFormat="1" applyFont="1"/>
    <xf numFmtId="165" fontId="2" fillId="0" borderId="0" xfId="3" applyNumberFormat="1" applyFont="1" applyAlignment="1">
      <alignment horizontal="right"/>
    </xf>
    <xf numFmtId="165" fontId="2" fillId="0" borderId="0" xfId="0" applyNumberFormat="1" applyFont="1" applyAlignment="1"/>
    <xf numFmtId="165" fontId="2" fillId="0" borderId="0" xfId="3" applyNumberFormat="1" applyFont="1"/>
    <xf numFmtId="165" fontId="5" fillId="0" borderId="0" xfId="3" applyNumberFormat="1" applyFont="1"/>
    <xf numFmtId="171" fontId="19" fillId="0" borderId="0" xfId="15" applyNumberFormat="1" applyFont="1" applyAlignment="1" applyProtection="1">
      <protection locked="0"/>
    </xf>
    <xf numFmtId="165" fontId="2" fillId="0" borderId="0" xfId="15" applyNumberFormat="1" applyFont="1" applyAlignment="1">
      <alignment horizontal="right"/>
    </xf>
    <xf numFmtId="10" fontId="2" fillId="0" borderId="0" xfId="15" applyNumberFormat="1" applyFont="1" applyAlignment="1">
      <alignment horizontal="right"/>
    </xf>
    <xf numFmtId="171" fontId="2" fillId="0" borderId="0" xfId="15" applyNumberFormat="1" applyFont="1" applyAlignment="1">
      <alignment horizontal="right"/>
    </xf>
    <xf numFmtId="165" fontId="2" fillId="0" borderId="0" xfId="9" applyNumberFormat="1" applyFont="1"/>
    <xf numFmtId="0" fontId="26" fillId="0" borderId="0" xfId="15" applyFont="1" applyAlignment="1">
      <alignment horizontal="center" vertical="center"/>
    </xf>
    <xf numFmtId="165" fontId="1" fillId="0" borderId="0" xfId="16" applyFont="1">
      <alignment vertical="top"/>
    </xf>
    <xf numFmtId="165" fontId="19" fillId="0" borderId="0" xfId="9" applyNumberFormat="1" applyFont="1" applyProtection="1">
      <protection locked="0"/>
    </xf>
    <xf numFmtId="165" fontId="19" fillId="0" borderId="0" xfId="9" applyNumberFormat="1" applyFont="1" applyAlignment="1" applyProtection="1">
      <alignment horizontal="right"/>
      <protection locked="0"/>
    </xf>
    <xf numFmtId="165" fontId="27" fillId="0" borderId="0" xfId="9" applyNumberFormat="1" applyFont="1" applyProtection="1">
      <protection locked="0"/>
    </xf>
    <xf numFmtId="0" fontId="28" fillId="0" borderId="0" xfId="0" applyFont="1" applyAlignment="1">
      <alignment horizontal="left" vertical="center"/>
    </xf>
    <xf numFmtId="0" fontId="24" fillId="0" borderId="0" xfId="0" applyFont="1" applyAlignment="1"/>
    <xf numFmtId="165" fontId="4" fillId="0" borderId="0" xfId="15" applyNumberFormat="1" applyFont="1" applyAlignment="1">
      <alignment horizontal="right"/>
    </xf>
    <xf numFmtId="0" fontId="29" fillId="0" borderId="0" xfId="0" applyFont="1" applyAlignment="1">
      <alignment vertical="center" wrapText="1"/>
    </xf>
    <xf numFmtId="165" fontId="1" fillId="0" borderId="2" xfId="16" applyFont="1" applyBorder="1">
      <alignment vertical="top"/>
    </xf>
    <xf numFmtId="0" fontId="2" fillId="0" borderId="2" xfId="15" applyFont="1" applyBorder="1" applyAlignment="1">
      <alignment horizontal="right"/>
    </xf>
    <xf numFmtId="0" fontId="4" fillId="0" borderId="2" xfId="15" applyFont="1" applyBorder="1" applyAlignment="1">
      <alignment horizontal="right"/>
    </xf>
    <xf numFmtId="0" fontId="3" fillId="0" borderId="2" xfId="15" applyFont="1" applyBorder="1" applyAlignment="1"/>
    <xf numFmtId="38" fontId="2" fillId="0" borderId="0" xfId="6" applyFont="1" applyProtection="1"/>
    <xf numFmtId="171" fontId="2" fillId="0" borderId="0" xfId="15" applyNumberFormat="1" applyFont="1" applyAlignment="1"/>
    <xf numFmtId="0" fontId="30" fillId="0" borderId="0" xfId="0" applyFont="1">
      <alignment vertical="top"/>
    </xf>
    <xf numFmtId="0" fontId="17" fillId="0" borderId="0" xfId="11" applyProtection="1">
      <alignment vertical="top"/>
    </xf>
    <xf numFmtId="0" fontId="12" fillId="0" borderId="0" xfId="15" applyFont="1" applyAlignment="1"/>
    <xf numFmtId="6" fontId="6" fillId="0" borderId="0" xfId="6" applyNumberFormat="1">
      <protection locked="0"/>
    </xf>
    <xf numFmtId="3" fontId="0" fillId="0" borderId="0" xfId="0" applyNumberFormat="1" applyAlignment="1">
      <alignment horizontal="right"/>
    </xf>
    <xf numFmtId="3" fontId="4" fillId="0" borderId="0" xfId="0" applyNumberFormat="1" applyFont="1" applyAlignment="1">
      <alignment horizontal="right"/>
    </xf>
    <xf numFmtId="172" fontId="4" fillId="0" borderId="0" xfId="15" applyNumberFormat="1" applyFont="1" applyAlignment="1">
      <alignment horizontal="right"/>
    </xf>
    <xf numFmtId="172" fontId="2" fillId="0" borderId="0" xfId="15" applyNumberFormat="1" applyFont="1" applyAlignment="1">
      <alignment horizontal="right"/>
    </xf>
    <xf numFmtId="165" fontId="4" fillId="0" borderId="0" xfId="16" applyAlignment="1"/>
    <xf numFmtId="3" fontId="31" fillId="6" borderId="7" xfId="0" applyNumberFormat="1" applyFont="1" applyFill="1" applyBorder="1" applyAlignment="1" applyProtection="1">
      <alignment horizontal="center"/>
      <protection locked="0"/>
    </xf>
    <xf numFmtId="3" fontId="32" fillId="6" borderId="7" xfId="0" applyNumberFormat="1" applyFont="1" applyFill="1" applyBorder="1" applyAlignment="1" applyProtection="1">
      <alignment horizontal="center"/>
      <protection locked="0"/>
    </xf>
    <xf numFmtId="165" fontId="1" fillId="0" borderId="0" xfId="16" applyFont="1" applyAlignment="1"/>
    <xf numFmtId="165" fontId="13" fillId="0" borderId="0" xfId="16" applyFont="1">
      <alignment vertical="top"/>
    </xf>
    <xf numFmtId="0" fontId="13" fillId="0" borderId="0" xfId="15" applyFont="1" applyAlignment="1"/>
    <xf numFmtId="171" fontId="0" fillId="0" borderId="0" xfId="0" applyNumberFormat="1">
      <alignment vertical="top"/>
    </xf>
    <xf numFmtId="0" fontId="4" fillId="0" borderId="0" xfId="0" applyFont="1">
      <alignment vertical="top"/>
    </xf>
    <xf numFmtId="0" fontId="2" fillId="0" borderId="0" xfId="0" applyFont="1">
      <alignment vertical="top"/>
    </xf>
    <xf numFmtId="0" fontId="6" fillId="0" borderId="0" xfId="10" applyNumberFormat="1">
      <protection locked="0"/>
    </xf>
    <xf numFmtId="165" fontId="0" fillId="0" borderId="0" xfId="0" applyNumberFormat="1">
      <alignment vertical="top"/>
    </xf>
    <xf numFmtId="10" fontId="0" fillId="0" borderId="0" xfId="0" applyNumberFormat="1">
      <alignment vertical="top"/>
    </xf>
    <xf numFmtId="6" fontId="2" fillId="0" borderId="0" xfId="6" applyNumberFormat="1" applyFont="1">
      <protection locked="0"/>
    </xf>
    <xf numFmtId="3" fontId="9" fillId="6" borderId="4" xfId="0" applyNumberFormat="1" applyFont="1" applyFill="1" applyBorder="1" applyAlignment="1" applyProtection="1">
      <alignment horizontal="center"/>
      <protection locked="0"/>
    </xf>
    <xf numFmtId="3" fontId="1" fillId="6" borderId="4" xfId="0" applyNumberFormat="1" applyFont="1" applyFill="1" applyBorder="1" applyAlignment="1" applyProtection="1">
      <alignment horizontal="center"/>
      <protection locked="0"/>
    </xf>
    <xf numFmtId="38" fontId="2" fillId="0" borderId="0" xfId="6" applyFont="1">
      <protection locked="0"/>
    </xf>
    <xf numFmtId="6" fontId="19" fillId="0" borderId="0" xfId="6" applyNumberFormat="1" applyFont="1">
      <protection locked="0"/>
    </xf>
    <xf numFmtId="171" fontId="2" fillId="0" borderId="0" xfId="15" applyNumberFormat="1" applyFont="1" applyAlignment="1" applyProtection="1">
      <protection locked="0"/>
    </xf>
    <xf numFmtId="165" fontId="2" fillId="0" borderId="0" xfId="15" applyNumberFormat="1" applyFont="1" applyAlignment="1" applyProtection="1">
      <protection locked="0"/>
    </xf>
    <xf numFmtId="165" fontId="2" fillId="7" borderId="0" xfId="15" applyNumberFormat="1" applyFont="1" applyFill="1" applyAlignment="1">
      <alignment horizontal="right"/>
    </xf>
    <xf numFmtId="0" fontId="5" fillId="7" borderId="0" xfId="15" applyFont="1" applyFill="1" applyAlignment="1">
      <alignment horizontal="right"/>
    </xf>
    <xf numFmtId="0" fontId="4" fillId="7" borderId="0" xfId="15" applyFont="1" applyFill="1" applyAlignment="1"/>
    <xf numFmtId="171" fontId="2" fillId="8" borderId="0" xfId="15" applyNumberFormat="1" applyFont="1" applyFill="1" applyAlignment="1">
      <alignment horizontal="right"/>
    </xf>
    <xf numFmtId="0" fontId="2" fillId="7" borderId="0" xfId="15" applyFont="1" applyFill="1" applyAlignment="1"/>
    <xf numFmtId="165" fontId="4" fillId="7" borderId="0" xfId="15" applyNumberFormat="1" applyFont="1" applyFill="1" applyAlignment="1">
      <alignment horizontal="right"/>
    </xf>
    <xf numFmtId="0" fontId="3" fillId="7" borderId="0" xfId="15" applyFont="1" applyFill="1" applyAlignment="1"/>
    <xf numFmtId="165" fontId="1" fillId="7" borderId="0" xfId="16" applyFont="1" applyFill="1" applyAlignment="1"/>
    <xf numFmtId="0" fontId="1" fillId="7" borderId="0" xfId="15" applyFill="1" applyAlignment="1"/>
    <xf numFmtId="0" fontId="2" fillId="0" borderId="5" xfId="0" applyFont="1" applyBorder="1">
      <alignment vertical="top"/>
    </xf>
    <xf numFmtId="0" fontId="2" fillId="0" borderId="6" xfId="0" applyFont="1" applyBorder="1">
      <alignment vertical="top"/>
    </xf>
    <xf numFmtId="171" fontId="2" fillId="0" borderId="4" xfId="0" applyNumberFormat="1" applyFont="1" applyBorder="1">
      <alignment vertical="top"/>
    </xf>
    <xf numFmtId="171" fontId="0" fillId="9" borderId="0" xfId="0" applyNumberFormat="1" applyFill="1">
      <alignment vertical="top"/>
    </xf>
    <xf numFmtId="165" fontId="0" fillId="9" borderId="0" xfId="0" applyNumberFormat="1" applyFill="1">
      <alignment vertical="top"/>
    </xf>
    <xf numFmtId="165" fontId="4" fillId="0" borderId="0" xfId="16" applyAlignment="1">
      <alignment vertical="center"/>
    </xf>
    <xf numFmtId="165" fontId="4" fillId="0" borderId="0" xfId="16">
      <alignment vertical="top"/>
    </xf>
    <xf numFmtId="165" fontId="2" fillId="0" borderId="0" xfId="16" applyFont="1" applyAlignment="1">
      <alignment horizontal="center" vertical="center"/>
    </xf>
    <xf numFmtId="165" fontId="2" fillId="0" borderId="0" xfId="16" applyFont="1" applyAlignment="1">
      <alignment vertical="center"/>
    </xf>
    <xf numFmtId="165" fontId="2" fillId="0" borderId="0" xfId="16" applyFont="1">
      <alignment vertical="top"/>
    </xf>
    <xf numFmtId="165" fontId="34" fillId="0" borderId="0" xfId="12" applyNumberFormat="1" applyFont="1" applyAlignment="1" applyProtection="1">
      <alignment horizontal="left" vertical="center"/>
    </xf>
    <xf numFmtId="165" fontId="4" fillId="0" borderId="0" xfId="16" applyAlignment="1">
      <alignment horizontal="left" vertical="center" wrapText="1"/>
    </xf>
    <xf numFmtId="0" fontId="1" fillId="0" borderId="0" xfId="15" applyAlignment="1">
      <alignment vertical="center"/>
    </xf>
    <xf numFmtId="0" fontId="14" fillId="0" borderId="0" xfId="0" applyFont="1" applyAlignment="1"/>
    <xf numFmtId="3" fontId="2" fillId="0" borderId="0" xfId="0" applyNumberFormat="1" applyFont="1" applyAlignment="1">
      <alignment horizontal="right"/>
    </xf>
    <xf numFmtId="165" fontId="34" fillId="0" borderId="0" xfId="11" applyNumberFormat="1" applyFont="1" applyAlignment="1" applyProtection="1">
      <alignment horizontal="left" vertical="center"/>
    </xf>
    <xf numFmtId="0" fontId="4" fillId="0" borderId="0" xfId="15" applyFont="1" applyAlignment="1">
      <alignment horizontal="left" vertical="center" wrapText="1"/>
    </xf>
    <xf numFmtId="0" fontId="4" fillId="0" borderId="0" xfId="15" applyFont="1" applyAlignment="1">
      <alignment vertical="center"/>
    </xf>
    <xf numFmtId="165" fontId="4" fillId="0" borderId="0" xfId="15" applyNumberFormat="1" applyFont="1" applyAlignment="1"/>
    <xf numFmtId="173" fontId="6" fillId="0" borderId="0" xfId="10" applyNumberFormat="1">
      <protection locked="0"/>
    </xf>
    <xf numFmtId="0" fontId="5" fillId="0" borderId="0" xfId="0" applyFont="1" applyAlignment="1">
      <alignment horizontal="center" vertical="top"/>
    </xf>
    <xf numFmtId="171" fontId="2" fillId="0" borderId="0" xfId="0" applyNumberFormat="1" applyFont="1">
      <alignment vertical="top"/>
    </xf>
    <xf numFmtId="0" fontId="2" fillId="0" borderId="0" xfId="15" applyFont="1" applyAlignment="1">
      <alignment horizontal="right"/>
    </xf>
    <xf numFmtId="0" fontId="24" fillId="0" borderId="0" xfId="0" applyFont="1" applyAlignment="1">
      <alignment horizontal="left"/>
    </xf>
    <xf numFmtId="0" fontId="24" fillId="0" borderId="0" xfId="0" applyFont="1" applyAlignment="1">
      <alignment horizontal="left" wrapText="1"/>
    </xf>
    <xf numFmtId="0" fontId="26" fillId="10" borderId="0" xfId="15" applyFont="1" applyFill="1" applyAlignment="1">
      <alignment horizontal="center" vertical="center"/>
    </xf>
    <xf numFmtId="0" fontId="26" fillId="10" borderId="0" xfId="15" applyFont="1" applyFill="1" applyAlignment="1">
      <alignment horizontal="left" vertical="center"/>
    </xf>
    <xf numFmtId="0" fontId="2" fillId="0" borderId="2" xfId="15" applyFont="1" applyBorder="1" applyAlignment="1">
      <alignment horizontal="center"/>
    </xf>
    <xf numFmtId="0" fontId="34" fillId="0" borderId="0" xfId="11" applyFont="1" applyAlignment="1" applyProtection="1">
      <alignment horizontal="left" vertical="center"/>
    </xf>
    <xf numFmtId="165" fontId="4" fillId="0" borderId="0" xfId="16" applyAlignment="1">
      <alignment horizontal="left" vertical="top" wrapText="1"/>
    </xf>
    <xf numFmtId="165" fontId="34" fillId="0" borderId="0" xfId="11" applyNumberFormat="1" applyFont="1" applyAlignment="1" applyProtection="1">
      <alignment horizontal="left" vertical="center"/>
    </xf>
    <xf numFmtId="165" fontId="4" fillId="0" borderId="0" xfId="16" applyAlignment="1">
      <alignment horizontal="left" vertical="center" wrapText="1"/>
    </xf>
    <xf numFmtId="0" fontId="4" fillId="0" borderId="0" xfId="15" applyFont="1" applyAlignment="1">
      <alignment horizontal="left" vertical="center" wrapText="1"/>
    </xf>
    <xf numFmtId="0" fontId="4" fillId="0" borderId="0" xfId="15" applyFont="1" applyAlignment="1">
      <alignment horizontal="left" wrapText="1"/>
    </xf>
    <xf numFmtId="0" fontId="4" fillId="0" borderId="0" xfId="15" applyFont="1" applyAlignment="1">
      <alignment horizontal="left" vertical="top" wrapText="1"/>
    </xf>
    <xf numFmtId="165" fontId="26" fillId="10" borderId="0" xfId="16" applyFont="1" applyFill="1" applyAlignment="1">
      <alignment horizontal="center" vertical="center"/>
    </xf>
    <xf numFmtId="164" fontId="26" fillId="10" borderId="0" xfId="0" applyNumberFormat="1" applyFont="1" applyFill="1" applyAlignment="1">
      <alignment horizontal="center"/>
    </xf>
    <xf numFmtId="3" fontId="26" fillId="10" borderId="0" xfId="0" applyNumberFormat="1" applyFont="1" applyFill="1" applyAlignment="1">
      <alignment horizontal="center"/>
    </xf>
    <xf numFmtId="0" fontId="3" fillId="7" borderId="0" xfId="15" applyFont="1" applyFill="1" applyAlignment="1">
      <alignment horizontal="center" vertical="top" wrapText="1"/>
    </xf>
    <xf numFmtId="0" fontId="29" fillId="0" borderId="0" xfId="0" applyFont="1" applyAlignment="1">
      <alignment horizontal="left" vertical="center" wrapText="1"/>
    </xf>
    <xf numFmtId="165" fontId="33" fillId="0" borderId="0" xfId="11" applyNumberFormat="1" applyFont="1" applyAlignment="1" applyProtection="1">
      <alignment horizontal="left" vertical="top"/>
    </xf>
    <xf numFmtId="172" fontId="33" fillId="0" borderId="0" xfId="11" applyNumberFormat="1" applyFont="1" applyAlignment="1" applyProtection="1">
      <alignment horizontal="left"/>
    </xf>
    <xf numFmtId="0" fontId="33" fillId="0" borderId="0" xfId="11" applyFont="1" applyAlignment="1" applyProtection="1">
      <alignment horizontal="left" vertical="top"/>
    </xf>
  </cellXfs>
  <cellStyles count="28">
    <cellStyle name="Curr ($1,234) L Black" xfId="1" xr:uid="{00000000-0005-0000-0000-000000000000}"/>
    <cellStyle name="Curr ($1,234) U Blue" xfId="2" xr:uid="{00000000-0005-0000-0000-000001000000}"/>
    <cellStyle name="Curr ($1,234.00) L Black" xfId="3" xr:uid="{00000000-0005-0000-0000-000002000000}"/>
    <cellStyle name="Curr ($1,234.00) U Blue" xfId="4" xr:uid="{00000000-0005-0000-0000-000003000000}"/>
    <cellStyle name="Curr (1,234) L Black" xfId="5" xr:uid="{00000000-0005-0000-0000-000004000000}"/>
    <cellStyle name="Curr (1,234) U Blue" xfId="6" xr:uid="{00000000-0005-0000-0000-000005000000}"/>
    <cellStyle name="Curr (1,234.0) L Black" xfId="7" xr:uid="{00000000-0005-0000-0000-000006000000}"/>
    <cellStyle name="Curr (1,234.0) U Blue" xfId="8" xr:uid="{00000000-0005-0000-0000-000007000000}"/>
    <cellStyle name="Curr (1,234.00) L Black" xfId="9" xr:uid="{00000000-0005-0000-0000-000008000000}"/>
    <cellStyle name="Curr (1,234.00) U Blue" xfId="10" xr:uid="{00000000-0005-0000-0000-000009000000}"/>
    <cellStyle name="Hyperlink" xfId="11" builtinId="8"/>
    <cellStyle name="Hyperlink 2" xfId="12" xr:uid="{00000000-0005-0000-0000-00000B000000}"/>
    <cellStyle name="Normal" xfId="0" builtinId="0"/>
    <cellStyle name="Normal 2" xfId="13" xr:uid="{00000000-0005-0000-0000-00000D000000}"/>
    <cellStyle name="Normal 2 2" xfId="14" xr:uid="{00000000-0005-0000-0000-00000E000000}"/>
    <cellStyle name="Normal 3" xfId="15" xr:uid="{00000000-0005-0000-0000-00000F000000}"/>
    <cellStyle name="Normal_Farrow-Wean 500" xfId="16" xr:uid="{00000000-0005-0000-0000-000010000000}"/>
    <cellStyle name="Num (1,234) L Black" xfId="17" xr:uid="{00000000-0005-0000-0000-000011000000}"/>
    <cellStyle name="Num (1,234) U Blue" xfId="18" xr:uid="{00000000-0005-0000-0000-000012000000}"/>
    <cellStyle name="Num (1,234.0) L Black" xfId="19" xr:uid="{00000000-0005-0000-0000-000013000000}"/>
    <cellStyle name="Num (1,234.0) U Blue" xfId="20" xr:uid="{00000000-0005-0000-0000-000014000000}"/>
    <cellStyle name="Num (1,234.10) L Black" xfId="21" xr:uid="{00000000-0005-0000-0000-000015000000}"/>
    <cellStyle name="Num (1,234.10) U Blue" xfId="22" xr:uid="{00000000-0005-0000-0000-000016000000}"/>
    <cellStyle name="Percent 00.00% L Black" xfId="23" xr:uid="{00000000-0005-0000-0000-000017000000}"/>
    <cellStyle name="Percent 00.00% U Blue" xfId="24" xr:uid="{00000000-0005-0000-0000-000018000000}"/>
    <cellStyle name="Standard_Anpassen der Amortisation" xfId="25" xr:uid="{00000000-0005-0000-0000-000019000000}"/>
    <cellStyle name="Währung [0]_Compiling Utility Macros" xfId="26" xr:uid="{00000000-0005-0000-0000-00001A000000}"/>
    <cellStyle name="Währung_Compiling Utility Macros" xfId="27"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(HIDE)'!$B$1</c:f>
          <c:strCache>
            <c:ptCount val="1"/>
            <c:pt idx="0">
              <c:v>Costs Not Covered By LPI Insured Value</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barChart>
        <c:barDir val="col"/>
        <c:grouping val="stacked"/>
        <c:varyColors val="0"/>
        <c:ser>
          <c:idx val="0"/>
          <c:order val="0"/>
          <c:tx>
            <c:strRef>
              <c:f>'Graph Data (HIDE)'!$B$3</c:f>
              <c:strCache>
                <c:ptCount val="1"/>
                <c:pt idx="0">
                  <c:v>Operating Costs</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(HIDE)'!$C$2:$V$2</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(HIDE)'!$C$3:$V$3</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7C80-47DC-A935-637EDF4F39FA}"/>
            </c:ext>
          </c:extLst>
        </c:ser>
        <c:ser>
          <c:idx val="1"/>
          <c:order val="1"/>
          <c:tx>
            <c:strRef>
              <c:f>'Graph Data (HIDE)'!$B$4</c:f>
              <c:strCache>
                <c:ptCount val="1"/>
                <c:pt idx="0">
                  <c:v>Fixed Costs</c:v>
                </c:pt>
              </c:strCache>
            </c:strRef>
          </c:tx>
          <c:invertIfNegative val="0"/>
          <c:cat>
            <c:numRef>
              <c:f>'Graph Data (HIDE)'!$C$2:$V$2</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(HIDE)'!$C$4:$V$4</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7C80-47DC-A935-637EDF4F39FA}"/>
            </c:ext>
          </c:extLst>
        </c:ser>
        <c:ser>
          <c:idx val="2"/>
          <c:order val="2"/>
          <c:tx>
            <c:strRef>
              <c:f>'Graph Data (HIDE)'!$B$5</c:f>
              <c:strCache>
                <c:ptCount val="1"/>
                <c:pt idx="0">
                  <c:v>Labour</c:v>
                </c:pt>
              </c:strCache>
            </c:strRef>
          </c:tx>
          <c:invertIfNegative val="0"/>
          <c:cat>
            <c:numRef>
              <c:f>'Graph Data (HIDE)'!$C$2:$V$2</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(HIDE)'!$C$5:$V$5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2-7C80-47DC-A935-637EDF4F39FA}"/>
            </c:ext>
          </c:extLst>
        </c:ser>
        <c:dLbls>
          <c:showLegendKey val="0"/>
          <c:showVal val="0"/>
          <c:showCatName val="0"/>
          <c:showSerName val="0"/>
          <c:showPercent val="0"/>
          <c:showBubbleSize val="0"/>
        </c:dLbls>
        <c:gapWidth val="75"/>
        <c:overlap val="100"/>
        <c:axId val="507816424"/>
        <c:axId val="1"/>
      </c:barChart>
      <c:catAx>
        <c:axId val="507816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US"/>
                  <a:t>Insured Index ($/cwt)</a:t>
                </a:r>
              </a:p>
            </c:rich>
          </c:tx>
          <c:overlay val="0"/>
        </c:title>
        <c:numFmt formatCode="&quot;$&quot;#,##0" sourceLinked="1"/>
        <c:majorTickMark val="none"/>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 per Head</a:t>
                </a:r>
              </a:p>
            </c:rich>
          </c:tx>
          <c:overlay val="0"/>
        </c:title>
        <c:numFmt formatCode="&quot;$&quot;#,##0.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507816424"/>
        <c:crosses val="autoZero"/>
        <c:crossBetween val="between"/>
      </c:valAx>
      <c:spPr>
        <a:solidFill>
          <a:schemeClr val="bg1">
            <a:lumMod val="85000"/>
          </a:schemeClr>
        </a:solidFill>
      </c:spPr>
    </c:plotArea>
    <c:legend>
      <c:legendPos val="b"/>
      <c:layout>
        <c:manualLayout>
          <c:xMode val="edge"/>
          <c:yMode val="edge"/>
          <c:x val="0.22300903537500288"/>
          <c:y val="0.90656063618290261"/>
          <c:w val="0.53982356630199968"/>
          <c:h val="4.9701789264413487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'Graph Data (HIDE)'!$B$81</c:f>
          <c:strCache>
            <c:ptCount val="1"/>
            <c:pt idx="0">
              <c:v>LPI - Insured Value Analysis</c:v>
            </c:pt>
          </c:strCache>
        </c:strRef>
      </c:tx>
      <c:overlay val="0"/>
      <c:txPr>
        <a:bodyPr/>
        <a:lstStyle/>
        <a:p>
          <a:pPr>
            <a:defRPr sz="20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3335685159973898"/>
          <c:y val="0.1161162843605221"/>
          <c:w val="0.77106819604658261"/>
          <c:h val="0.71891168268939054"/>
        </c:manualLayout>
      </c:layout>
      <c:barChart>
        <c:barDir val="col"/>
        <c:grouping val="clustered"/>
        <c:varyColors val="0"/>
        <c:ser>
          <c:idx val="0"/>
          <c:order val="0"/>
          <c:tx>
            <c:strRef>
              <c:f>'Graph Data (HIDE)'!$B$84</c:f>
              <c:strCache>
                <c:ptCount val="1"/>
                <c:pt idx="0">
                  <c:v>Cost per $1 of Increased Coverage</c:v>
                </c:pt>
              </c:strCache>
            </c:strRef>
          </c:tx>
          <c:invertIfNegative val="0"/>
          <c:cat>
            <c:numRef>
              <c:f>'Graph Data (HIDE)'!$C$82:$V$82</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(HIDE)'!$C$84:$V$84</c:f>
              <c:numCache>
                <c:formatCode>"$"#,##0.00</c:formatCode>
                <c:ptCount val="20"/>
                <c:pt idx="0">
                  <c:v>0.56000000000000005</c:v>
                </c:pt>
                <c:pt idx="1">
                  <c:v>0.53</c:v>
                </c:pt>
                <c:pt idx="2">
                  <c:v>0.55500000000000005</c:v>
                </c:pt>
                <c:pt idx="3">
                  <c:v>0.53</c:v>
                </c:pt>
                <c:pt idx="4">
                  <c:v>0.41</c:v>
                </c:pt>
                <c:pt idx="5">
                  <c:v>0.48</c:v>
                </c:pt>
                <c:pt idx="6">
                  <c:v>0.36</c:v>
                </c:pt>
                <c:pt idx="7">
                  <c:v>0.40500000000000003</c:v>
                </c:pt>
                <c:pt idx="8">
                  <c:v>0.34499999999999981</c:v>
                </c:pt>
                <c:pt idx="9">
                  <c:v>9.5000000000000195E-2</c:v>
                </c:pt>
                <c:pt idx="10">
                  <c:v>0.1149999999999998</c:v>
                </c:pt>
                <c:pt idx="11">
                  <c:v>6.5000000000000197E-2</c:v>
                </c:pt>
                <c:pt idx="12">
                  <c:v>6.5000000000000002E-2</c:v>
                </c:pt>
                <c:pt idx="13">
                  <c:v>0.06</c:v>
                </c:pt>
                <c:pt idx="14">
                  <c:v>0</c:v>
                </c:pt>
                <c:pt idx="15">
                  <c:v>0</c:v>
                </c:pt>
                <c:pt idx="16">
                  <c:v>0</c:v>
                </c:pt>
                <c:pt idx="17">
                  <c:v>0</c:v>
                </c:pt>
                <c:pt idx="18">
                  <c:v>0</c:v>
                </c:pt>
                <c:pt idx="19">
                  <c:v>0</c:v>
                </c:pt>
              </c:numCache>
            </c:numRef>
          </c:val>
          <c:extLst>
            <c:ext xmlns:c16="http://schemas.microsoft.com/office/drawing/2014/chart" uri="{C3380CC4-5D6E-409C-BE32-E72D297353CC}">
              <c16:uniqueId val="{00000000-BCD6-42D9-9013-6EF7F31485FE}"/>
            </c:ext>
          </c:extLst>
        </c:ser>
        <c:dLbls>
          <c:showLegendKey val="0"/>
          <c:showVal val="0"/>
          <c:showCatName val="0"/>
          <c:showSerName val="0"/>
          <c:showPercent val="0"/>
          <c:showBubbleSize val="0"/>
        </c:dLbls>
        <c:gapWidth val="75"/>
        <c:axId val="507817080"/>
        <c:axId val="1"/>
      </c:barChart>
      <c:lineChart>
        <c:grouping val="standard"/>
        <c:varyColors val="0"/>
        <c:ser>
          <c:idx val="1"/>
          <c:order val="1"/>
          <c:tx>
            <c:strRef>
              <c:f>'Graph Data (HIDE)'!$B$83</c:f>
              <c:strCache>
                <c:ptCount val="1"/>
                <c:pt idx="0">
                  <c:v>Premium Cost (% of Insured Value)</c:v>
                </c:pt>
              </c:strCache>
            </c:strRef>
          </c:tx>
          <c:dLbls>
            <c:dLbl>
              <c:idx val="4"/>
              <c:delete val="1"/>
              <c:extLst>
                <c:ext xmlns:c15="http://schemas.microsoft.com/office/drawing/2012/chart" uri="{CE6537A1-D6FC-4f65-9D91-7224C49458BB}"/>
                <c:ext xmlns:c16="http://schemas.microsoft.com/office/drawing/2014/chart" uri="{C3380CC4-5D6E-409C-BE32-E72D297353CC}">
                  <c16:uniqueId val="{00000001-BCD6-42D9-9013-6EF7F31485FE}"/>
                </c:ext>
              </c:extLst>
            </c:dLbl>
            <c:dLbl>
              <c:idx val="6"/>
              <c:delete val="1"/>
              <c:extLst>
                <c:ext xmlns:c15="http://schemas.microsoft.com/office/drawing/2012/chart" uri="{CE6537A1-D6FC-4f65-9D91-7224C49458BB}"/>
                <c:ext xmlns:c16="http://schemas.microsoft.com/office/drawing/2014/chart" uri="{C3380CC4-5D6E-409C-BE32-E72D297353CC}">
                  <c16:uniqueId val="{00000002-BCD6-42D9-9013-6EF7F31485FE}"/>
                </c:ext>
              </c:extLst>
            </c:dLbl>
            <c:dLbl>
              <c:idx val="8"/>
              <c:delete val="1"/>
              <c:extLst>
                <c:ext xmlns:c15="http://schemas.microsoft.com/office/drawing/2012/chart" uri="{CE6537A1-D6FC-4f65-9D91-7224C49458BB}"/>
                <c:ext xmlns:c16="http://schemas.microsoft.com/office/drawing/2014/chart" uri="{C3380CC4-5D6E-409C-BE32-E72D297353CC}">
                  <c16:uniqueId val="{00000003-BCD6-42D9-9013-6EF7F31485FE}"/>
                </c:ext>
              </c:extLst>
            </c:dLbl>
            <c:dLbl>
              <c:idx val="10"/>
              <c:delete val="1"/>
              <c:extLst>
                <c:ext xmlns:c15="http://schemas.microsoft.com/office/drawing/2012/chart" uri="{CE6537A1-D6FC-4f65-9D91-7224C49458BB}"/>
                <c:ext xmlns:c16="http://schemas.microsoft.com/office/drawing/2014/chart" uri="{C3380CC4-5D6E-409C-BE32-E72D297353CC}">
                  <c16:uniqueId val="{00000004-BCD6-42D9-9013-6EF7F31485FE}"/>
                </c:ext>
              </c:extLst>
            </c:dLbl>
            <c:dLbl>
              <c:idx val="12"/>
              <c:delete val="1"/>
              <c:extLst>
                <c:ext xmlns:c15="http://schemas.microsoft.com/office/drawing/2012/chart" uri="{CE6537A1-D6FC-4f65-9D91-7224C49458BB}"/>
                <c:ext xmlns:c16="http://schemas.microsoft.com/office/drawing/2014/chart" uri="{C3380CC4-5D6E-409C-BE32-E72D297353CC}">
                  <c16:uniqueId val="{00000005-BCD6-42D9-9013-6EF7F31485FE}"/>
                </c:ext>
              </c:extLst>
            </c:dLbl>
            <c:dLbl>
              <c:idx val="14"/>
              <c:delete val="1"/>
              <c:extLst>
                <c:ext xmlns:c15="http://schemas.microsoft.com/office/drawing/2012/chart" uri="{CE6537A1-D6FC-4f65-9D91-7224C49458BB}"/>
                <c:ext xmlns:c16="http://schemas.microsoft.com/office/drawing/2014/chart" uri="{C3380CC4-5D6E-409C-BE32-E72D297353CC}">
                  <c16:uniqueId val="{00000006-BCD6-42D9-9013-6EF7F31485FE}"/>
                </c:ext>
              </c:extLst>
            </c:dLbl>
            <c:dLbl>
              <c:idx val="16"/>
              <c:delete val="1"/>
              <c:extLst>
                <c:ext xmlns:c15="http://schemas.microsoft.com/office/drawing/2012/chart" uri="{CE6537A1-D6FC-4f65-9D91-7224C49458BB}"/>
                <c:ext xmlns:c16="http://schemas.microsoft.com/office/drawing/2014/chart" uri="{C3380CC4-5D6E-409C-BE32-E72D297353CC}">
                  <c16:uniqueId val="{00000007-BCD6-42D9-9013-6EF7F31485FE}"/>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(HIDE)'!$C$82:$V$82</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(HIDE)'!$C$83:$V$83</c:f>
              <c:numCache>
                <c:formatCode>0.00%</c:formatCode>
                <c:ptCount val="20"/>
                <c:pt idx="0">
                  <c:v>2.9897959183673471E-2</c:v>
                </c:pt>
                <c:pt idx="1">
                  <c:v>2.7179487179487177E-2</c:v>
                </c:pt>
                <c:pt idx="2">
                  <c:v>2.4587628865979379E-2</c:v>
                </c:pt>
                <c:pt idx="3">
                  <c:v>2.1839378238341967E-2</c:v>
                </c:pt>
                <c:pt idx="4">
                  <c:v>1.9192708333333332E-2</c:v>
                </c:pt>
                <c:pt idx="5">
                  <c:v>1.7146596858638743E-2</c:v>
                </c:pt>
                <c:pt idx="6">
                  <c:v>1.4710526315789473E-2</c:v>
                </c:pt>
                <c:pt idx="7">
                  <c:v>1.2883597883597884E-2</c:v>
                </c:pt>
                <c:pt idx="8">
                  <c:v>1.0797872340425532E-2</c:v>
                </c:pt>
                <c:pt idx="9">
                  <c:v>9.0106951871657768E-3</c:v>
                </c:pt>
                <c:pt idx="10">
                  <c:v>8.5483870967741939E-3</c:v>
                </c:pt>
                <c:pt idx="11">
                  <c:v>7.9729729729729748E-3</c:v>
                </c:pt>
                <c:pt idx="12">
                  <c:v>7.6630434782608697E-3</c:v>
                </c:pt>
                <c:pt idx="13">
                  <c:v>7.3497267759562836E-3</c:v>
                </c:pt>
                <c:pt idx="14">
                  <c:v>7.0604395604395602E-3</c:v>
                </c:pt>
                <c:pt idx="15">
                  <c:v>#N/A</c:v>
                </c:pt>
                <c:pt idx="16">
                  <c:v>#N/A</c:v>
                </c:pt>
                <c:pt idx="17">
                  <c:v>#N/A</c:v>
                </c:pt>
                <c:pt idx="18">
                  <c:v>#N/A</c:v>
                </c:pt>
                <c:pt idx="19">
                  <c:v>#N/A</c:v>
                </c:pt>
              </c:numCache>
            </c:numRef>
          </c:val>
          <c:smooth val="0"/>
          <c:extLst>
            <c:ext xmlns:c16="http://schemas.microsoft.com/office/drawing/2014/chart" uri="{C3380CC4-5D6E-409C-BE32-E72D297353CC}">
              <c16:uniqueId val="{00000008-BCD6-42D9-9013-6EF7F31485FE}"/>
            </c:ext>
          </c:extLst>
        </c:ser>
        <c:dLbls>
          <c:showLegendKey val="0"/>
          <c:showVal val="0"/>
          <c:showCatName val="0"/>
          <c:showSerName val="0"/>
          <c:showPercent val="0"/>
          <c:showBubbleSize val="0"/>
        </c:dLbls>
        <c:marker val="1"/>
        <c:smooth val="0"/>
        <c:axId val="3"/>
        <c:axId val="4"/>
      </c:lineChart>
      <c:catAx>
        <c:axId val="507817080"/>
        <c:scaling>
          <c:orientation val="minMax"/>
        </c:scaling>
        <c:delete val="0"/>
        <c:axPos val="b"/>
        <c:numFmt formatCode="&quot;$&quot;#,##0" sourceLinked="1"/>
        <c:majorTickMark val="cross"/>
        <c:minorTickMark val="none"/>
        <c:tickLblPos val="low"/>
        <c:txPr>
          <a:bodyPr rot="0" vert="horz"/>
          <a:lstStyle/>
          <a:p>
            <a:pPr>
              <a:defRPr sz="12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 Cost Per $ Coverage</a:t>
                </a:r>
              </a:p>
            </c:rich>
          </c:tx>
          <c:overlay val="0"/>
        </c:title>
        <c:numFmt formatCode="&quot;$&quot;#,##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7817080"/>
        <c:crosses val="autoZero"/>
        <c:crossBetween val="between"/>
      </c:valAx>
      <c:catAx>
        <c:axId val="3"/>
        <c:scaling>
          <c:orientation val="minMax"/>
        </c:scaling>
        <c:delete val="1"/>
        <c:axPos val="b"/>
        <c:numFmt formatCode="&quot;$&quot;#,##0"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85000"/>
          </a:schemeClr>
        </a:solidFill>
      </c:spPr>
    </c:plotArea>
    <c:legend>
      <c:legendPos val="r"/>
      <c:layout>
        <c:manualLayout>
          <c:xMode val="edge"/>
          <c:yMode val="edge"/>
          <c:x val="8.5106569125667789E-2"/>
          <c:y val="0.90476357122026407"/>
          <c:w val="0.8492922693173991"/>
          <c:h val="4.9603174603174649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'Graph Data (HIDE)'!$B$54</c:f>
          <c:strCache>
            <c:ptCount val="1"/>
            <c:pt idx="0">
              <c:v>LPI - Risk &amp; Reward Analysis</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3381715118309831"/>
          <c:y val="0.12168099908816581"/>
          <c:w val="0.71768620072933365"/>
          <c:h val="0.64897809079047464"/>
        </c:manualLayout>
      </c:layout>
      <c:lineChart>
        <c:grouping val="standard"/>
        <c:varyColors val="0"/>
        <c:ser>
          <c:idx val="0"/>
          <c:order val="0"/>
          <c:tx>
            <c:strRef>
              <c:f>'Graph Data (HIDE)'!$B$60</c:f>
              <c:strCache>
                <c:ptCount val="1"/>
                <c:pt idx="0">
                  <c:v>Return on Investment (Reward) @ Est. Mkt. Price $356/cwt</c:v>
                </c:pt>
              </c:strCache>
            </c:strRef>
          </c:tx>
          <c:spPr>
            <a:ln>
              <a:solidFill>
                <a:schemeClr val="tx1"/>
              </a:solidFill>
            </a:ln>
          </c:spPr>
          <c:marker>
            <c:symbol val="none"/>
          </c:marker>
          <c:dLbls>
            <c:dLbl>
              <c:idx val="0"/>
              <c:layout>
                <c:manualLayout>
                  <c:x val="-1.8379072122196347E-17"/>
                  <c:y val="-2.394015087950210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F0-4AD1-A939-DC71B47F687E}"/>
                </c:ext>
              </c:extLst>
            </c:dLbl>
            <c:dLbl>
              <c:idx val="1"/>
              <c:delete val="1"/>
              <c:extLst>
                <c:ext xmlns:c15="http://schemas.microsoft.com/office/drawing/2012/chart" uri="{CE6537A1-D6FC-4f65-9D91-7224C49458BB}"/>
                <c:ext xmlns:c16="http://schemas.microsoft.com/office/drawing/2014/chart" uri="{C3380CC4-5D6E-409C-BE32-E72D297353CC}">
                  <c16:uniqueId val="{00000001-72F0-4AD1-A939-DC71B47F687E}"/>
                </c:ext>
              </c:extLst>
            </c:dLbl>
            <c:dLbl>
              <c:idx val="2"/>
              <c:delete val="1"/>
              <c:extLst>
                <c:ext xmlns:c15="http://schemas.microsoft.com/office/drawing/2012/chart" uri="{CE6537A1-D6FC-4f65-9D91-7224C49458BB}"/>
                <c:ext xmlns:c16="http://schemas.microsoft.com/office/drawing/2014/chart" uri="{C3380CC4-5D6E-409C-BE32-E72D297353CC}">
                  <c16:uniqueId val="{00000002-72F0-4AD1-A939-DC71B47F687E}"/>
                </c:ext>
              </c:extLst>
            </c:dLbl>
            <c:dLbl>
              <c:idx val="3"/>
              <c:delete val="1"/>
              <c:extLst>
                <c:ext xmlns:c15="http://schemas.microsoft.com/office/drawing/2012/chart" uri="{CE6537A1-D6FC-4f65-9D91-7224C49458BB}"/>
                <c:ext xmlns:c16="http://schemas.microsoft.com/office/drawing/2014/chart" uri="{C3380CC4-5D6E-409C-BE32-E72D297353CC}">
                  <c16:uniqueId val="{00000003-72F0-4AD1-A939-DC71B47F687E}"/>
                </c:ext>
              </c:extLst>
            </c:dLbl>
            <c:dLbl>
              <c:idx val="4"/>
              <c:delete val="1"/>
              <c:extLst>
                <c:ext xmlns:c15="http://schemas.microsoft.com/office/drawing/2012/chart" uri="{CE6537A1-D6FC-4f65-9D91-7224C49458BB}"/>
                <c:ext xmlns:c16="http://schemas.microsoft.com/office/drawing/2014/chart" uri="{C3380CC4-5D6E-409C-BE32-E72D297353CC}">
                  <c16:uniqueId val="{00000004-72F0-4AD1-A939-DC71B47F687E}"/>
                </c:ext>
              </c:extLst>
            </c:dLbl>
            <c:dLbl>
              <c:idx val="5"/>
              <c:delete val="1"/>
              <c:extLst>
                <c:ext xmlns:c15="http://schemas.microsoft.com/office/drawing/2012/chart" uri="{CE6537A1-D6FC-4f65-9D91-7224C49458BB}"/>
                <c:ext xmlns:c16="http://schemas.microsoft.com/office/drawing/2014/chart" uri="{C3380CC4-5D6E-409C-BE32-E72D297353CC}">
                  <c16:uniqueId val="{00000005-72F0-4AD1-A939-DC71B47F687E}"/>
                </c:ext>
              </c:extLst>
            </c:dLbl>
            <c:dLbl>
              <c:idx val="6"/>
              <c:delete val="1"/>
              <c:extLst>
                <c:ext xmlns:c15="http://schemas.microsoft.com/office/drawing/2012/chart" uri="{CE6537A1-D6FC-4f65-9D91-7224C49458BB}"/>
                <c:ext xmlns:c16="http://schemas.microsoft.com/office/drawing/2014/chart" uri="{C3380CC4-5D6E-409C-BE32-E72D297353CC}">
                  <c16:uniqueId val="{00000006-72F0-4AD1-A939-DC71B47F687E}"/>
                </c:ext>
              </c:extLst>
            </c:dLbl>
            <c:dLbl>
              <c:idx val="7"/>
              <c:delete val="1"/>
              <c:extLst>
                <c:ext xmlns:c15="http://schemas.microsoft.com/office/drawing/2012/chart" uri="{CE6537A1-D6FC-4f65-9D91-7224C49458BB}"/>
                <c:ext xmlns:c16="http://schemas.microsoft.com/office/drawing/2014/chart" uri="{C3380CC4-5D6E-409C-BE32-E72D297353CC}">
                  <c16:uniqueId val="{00000007-72F0-4AD1-A939-DC71B47F687E}"/>
                </c:ext>
              </c:extLst>
            </c:dLbl>
            <c:dLbl>
              <c:idx val="8"/>
              <c:delete val="1"/>
              <c:extLst>
                <c:ext xmlns:c15="http://schemas.microsoft.com/office/drawing/2012/chart" uri="{CE6537A1-D6FC-4f65-9D91-7224C49458BB}"/>
                <c:ext xmlns:c16="http://schemas.microsoft.com/office/drawing/2014/chart" uri="{C3380CC4-5D6E-409C-BE32-E72D297353CC}">
                  <c16:uniqueId val="{00000008-72F0-4AD1-A939-DC71B47F687E}"/>
                </c:ext>
              </c:extLst>
            </c:dLbl>
            <c:dLbl>
              <c:idx val="9"/>
              <c:delete val="1"/>
              <c:extLst>
                <c:ext xmlns:c15="http://schemas.microsoft.com/office/drawing/2012/chart" uri="{CE6537A1-D6FC-4f65-9D91-7224C49458BB}"/>
                <c:ext xmlns:c16="http://schemas.microsoft.com/office/drawing/2014/chart" uri="{C3380CC4-5D6E-409C-BE32-E72D297353CC}">
                  <c16:uniqueId val="{00000009-72F0-4AD1-A939-DC71B47F687E}"/>
                </c:ext>
              </c:extLst>
            </c:dLbl>
            <c:dLbl>
              <c:idx val="10"/>
              <c:delete val="1"/>
              <c:extLst>
                <c:ext xmlns:c15="http://schemas.microsoft.com/office/drawing/2012/chart" uri="{CE6537A1-D6FC-4f65-9D91-7224C49458BB}"/>
                <c:ext xmlns:c16="http://schemas.microsoft.com/office/drawing/2014/chart" uri="{C3380CC4-5D6E-409C-BE32-E72D297353CC}">
                  <c16:uniqueId val="{0000000A-72F0-4AD1-A939-DC71B47F687E}"/>
                </c:ext>
              </c:extLst>
            </c:dLbl>
            <c:dLbl>
              <c:idx val="11"/>
              <c:delete val="1"/>
              <c:extLst>
                <c:ext xmlns:c15="http://schemas.microsoft.com/office/drawing/2012/chart" uri="{CE6537A1-D6FC-4f65-9D91-7224C49458BB}"/>
                <c:ext xmlns:c16="http://schemas.microsoft.com/office/drawing/2014/chart" uri="{C3380CC4-5D6E-409C-BE32-E72D297353CC}">
                  <c16:uniqueId val="{0000000B-72F0-4AD1-A939-DC71B47F687E}"/>
                </c:ext>
              </c:extLst>
            </c:dLbl>
            <c:dLbl>
              <c:idx val="12"/>
              <c:delete val="1"/>
              <c:extLst>
                <c:ext xmlns:c15="http://schemas.microsoft.com/office/drawing/2012/chart" uri="{CE6537A1-D6FC-4f65-9D91-7224C49458BB}"/>
                <c:ext xmlns:c16="http://schemas.microsoft.com/office/drawing/2014/chart" uri="{C3380CC4-5D6E-409C-BE32-E72D297353CC}">
                  <c16:uniqueId val="{0000000C-72F0-4AD1-A939-DC71B47F687E}"/>
                </c:ext>
              </c:extLst>
            </c:dLbl>
            <c:dLbl>
              <c:idx val="13"/>
              <c:delete val="1"/>
              <c:extLst>
                <c:ext xmlns:c15="http://schemas.microsoft.com/office/drawing/2012/chart" uri="{CE6537A1-D6FC-4f65-9D91-7224C49458BB}"/>
                <c:ext xmlns:c16="http://schemas.microsoft.com/office/drawing/2014/chart" uri="{C3380CC4-5D6E-409C-BE32-E72D297353CC}">
                  <c16:uniqueId val="{0000000D-72F0-4AD1-A939-DC71B47F687E}"/>
                </c:ext>
              </c:extLst>
            </c:dLbl>
            <c:dLbl>
              <c:idx val="14"/>
              <c:delete val="1"/>
              <c:extLst>
                <c:ext xmlns:c15="http://schemas.microsoft.com/office/drawing/2012/chart" uri="{CE6537A1-D6FC-4f65-9D91-7224C49458BB}"/>
                <c:ext xmlns:c16="http://schemas.microsoft.com/office/drawing/2014/chart" uri="{C3380CC4-5D6E-409C-BE32-E72D297353CC}">
                  <c16:uniqueId val="{0000000E-72F0-4AD1-A939-DC71B47F687E}"/>
                </c:ext>
              </c:extLst>
            </c:dLbl>
            <c:dLbl>
              <c:idx val="15"/>
              <c:delete val="1"/>
              <c:extLst>
                <c:ext xmlns:c15="http://schemas.microsoft.com/office/drawing/2012/chart" uri="{CE6537A1-D6FC-4f65-9D91-7224C49458BB}"/>
                <c:ext xmlns:c16="http://schemas.microsoft.com/office/drawing/2014/chart" uri="{C3380CC4-5D6E-409C-BE32-E72D297353CC}">
                  <c16:uniqueId val="{0000000F-72F0-4AD1-A939-DC71B47F687E}"/>
                </c:ext>
              </c:extLst>
            </c:dLbl>
            <c:dLbl>
              <c:idx val="16"/>
              <c:delete val="1"/>
              <c:extLst>
                <c:ext xmlns:c15="http://schemas.microsoft.com/office/drawing/2012/chart" uri="{CE6537A1-D6FC-4f65-9D91-7224C49458BB}"/>
                <c:ext xmlns:c16="http://schemas.microsoft.com/office/drawing/2014/chart" uri="{C3380CC4-5D6E-409C-BE32-E72D297353CC}">
                  <c16:uniqueId val="{00000010-72F0-4AD1-A939-DC71B47F687E}"/>
                </c:ext>
              </c:extLst>
            </c:dLbl>
            <c:dLbl>
              <c:idx val="17"/>
              <c:delete val="1"/>
              <c:extLst>
                <c:ext xmlns:c15="http://schemas.microsoft.com/office/drawing/2012/chart" uri="{CE6537A1-D6FC-4f65-9D91-7224C49458BB}"/>
                <c:ext xmlns:c16="http://schemas.microsoft.com/office/drawing/2014/chart" uri="{C3380CC4-5D6E-409C-BE32-E72D297353CC}">
                  <c16:uniqueId val="{00000011-72F0-4AD1-A939-DC71B47F687E}"/>
                </c:ext>
              </c:extLst>
            </c:dLbl>
            <c:dLbl>
              <c:idx val="18"/>
              <c:delete val="1"/>
              <c:extLst>
                <c:ext xmlns:c15="http://schemas.microsoft.com/office/drawing/2012/chart" uri="{CE6537A1-D6FC-4f65-9D91-7224C49458BB}"/>
                <c:ext xmlns:c16="http://schemas.microsoft.com/office/drawing/2014/chart" uri="{C3380CC4-5D6E-409C-BE32-E72D297353CC}">
                  <c16:uniqueId val="{00000012-72F0-4AD1-A939-DC71B47F687E}"/>
                </c:ext>
              </c:extLst>
            </c:dLbl>
            <c:dLbl>
              <c:idx val="19"/>
              <c:delete val="1"/>
              <c:extLst>
                <c:ext xmlns:c15="http://schemas.microsoft.com/office/drawing/2012/chart" uri="{CE6537A1-D6FC-4f65-9D91-7224C49458BB}"/>
                <c:ext xmlns:c16="http://schemas.microsoft.com/office/drawing/2014/chart" uri="{C3380CC4-5D6E-409C-BE32-E72D297353CC}">
                  <c16:uniqueId val="{00000013-72F0-4AD1-A939-DC71B47F687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Data (HIDE)'!$C$55:$V$55</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(HIDE)'!$C$60:$V$60</c:f>
              <c:numCache>
                <c:formatCode>0.00%</c:formatCode>
                <c:ptCount val="20"/>
                <c:pt idx="0">
                  <c:v>0.27710120113021253</c:v>
                </c:pt>
                <c:pt idx="1">
                  <c:v>0.27710120113021253</c:v>
                </c:pt>
                <c:pt idx="2">
                  <c:v>0.27710120113021253</c:v>
                </c:pt>
                <c:pt idx="3">
                  <c:v>0.27710120113021253</c:v>
                </c:pt>
                <c:pt idx="4">
                  <c:v>0.27710120113021253</c:v>
                </c:pt>
                <c:pt idx="5">
                  <c:v>0.27710120113021253</c:v>
                </c:pt>
                <c:pt idx="6">
                  <c:v>0.27710120113021253</c:v>
                </c:pt>
                <c:pt idx="7">
                  <c:v>0.27710120113021253</c:v>
                </c:pt>
                <c:pt idx="8">
                  <c:v>0.27710120113021253</c:v>
                </c:pt>
                <c:pt idx="9">
                  <c:v>0.27710120113021253</c:v>
                </c:pt>
                <c:pt idx="10">
                  <c:v>0.27710120113021253</c:v>
                </c:pt>
                <c:pt idx="11">
                  <c:v>0.27710120113021253</c:v>
                </c:pt>
                <c:pt idx="12">
                  <c:v>0.27710120113021253</c:v>
                </c:pt>
                <c:pt idx="13">
                  <c:v>0.27710120113021253</c:v>
                </c:pt>
                <c:pt idx="14">
                  <c:v>0.27710120113021253</c:v>
                </c:pt>
                <c:pt idx="15">
                  <c:v>0.27710120113021253</c:v>
                </c:pt>
                <c:pt idx="16">
                  <c:v>0.27710120113021253</c:v>
                </c:pt>
                <c:pt idx="17">
                  <c:v>0.27710120113021253</c:v>
                </c:pt>
                <c:pt idx="18">
                  <c:v>0.27710120113021253</c:v>
                </c:pt>
                <c:pt idx="19">
                  <c:v>0.27710120113021253</c:v>
                </c:pt>
              </c:numCache>
            </c:numRef>
          </c:val>
          <c:smooth val="0"/>
          <c:extLst>
            <c:ext xmlns:c16="http://schemas.microsoft.com/office/drawing/2014/chart" uri="{C3380CC4-5D6E-409C-BE32-E72D297353CC}">
              <c16:uniqueId val="{00000014-72F0-4AD1-A939-DC71B47F687E}"/>
            </c:ext>
          </c:extLst>
        </c:ser>
        <c:dLbls>
          <c:showLegendKey val="0"/>
          <c:showVal val="0"/>
          <c:showCatName val="0"/>
          <c:showSerName val="0"/>
          <c:showPercent val="0"/>
          <c:showBubbleSize val="0"/>
        </c:dLbls>
        <c:marker val="1"/>
        <c:smooth val="0"/>
        <c:axId val="507823312"/>
        <c:axId val="1"/>
      </c:lineChart>
      <c:lineChart>
        <c:grouping val="standard"/>
        <c:varyColors val="0"/>
        <c:ser>
          <c:idx val="2"/>
          <c:order val="1"/>
          <c:tx>
            <c:strRef>
              <c:f>'Graph Data (HIDE)'!$B$56</c:f>
              <c:strCache>
                <c:ptCount val="1"/>
                <c:pt idx="0">
                  <c:v>LPI Coverage of Total Costs (Risk)</c:v>
                </c:pt>
              </c:strCache>
            </c:strRef>
          </c:tx>
          <c:spPr>
            <a:ln w="31750" cmpd="sng">
              <a:solidFill>
                <a:srgbClr val="FF0000"/>
              </a:solidFill>
              <a:prstDash val="solid"/>
            </a:ln>
          </c:spPr>
          <c:marker>
            <c:symbol val="none"/>
          </c:marker>
          <c:val>
            <c:numRef>
              <c:f>'Graph Data (HIDE)'!$C$56:$V$56</c:f>
              <c:numCache>
                <c:formatCode>0.00%</c:formatCode>
                <c:ptCount val="20"/>
                <c:pt idx="0">
                  <c:v>1.4062462664130431</c:v>
                </c:pt>
                <c:pt idx="1">
                  <c:v>1.3990715405639969</c:v>
                </c:pt>
                <c:pt idx="2">
                  <c:v>1.3918968147149506</c:v>
                </c:pt>
                <c:pt idx="3">
                  <c:v>1.3847220888659046</c:v>
                </c:pt>
                <c:pt idx="4">
                  <c:v>1.3775473630168584</c:v>
                </c:pt>
                <c:pt idx="5">
                  <c:v>1.3703726371678124</c:v>
                </c:pt>
                <c:pt idx="6">
                  <c:v>1.3631979113187662</c:v>
                </c:pt>
                <c:pt idx="7">
                  <c:v>1.35602318546972</c:v>
                </c:pt>
                <c:pt idx="8">
                  <c:v>1.348848459620674</c:v>
                </c:pt>
                <c:pt idx="9">
                  <c:v>1.3416737337716278</c:v>
                </c:pt>
                <c:pt idx="10">
                  <c:v>1.3344990079225816</c:v>
                </c:pt>
                <c:pt idx="11">
                  <c:v>1.3273242820735356</c:v>
                </c:pt>
                <c:pt idx="12">
                  <c:v>1.3201495562244894</c:v>
                </c:pt>
                <c:pt idx="13">
                  <c:v>1.3129748303754432</c:v>
                </c:pt>
                <c:pt idx="14">
                  <c:v>1.3058001045263972</c:v>
                </c:pt>
                <c:pt idx="15">
                  <c:v>#N/A</c:v>
                </c:pt>
                <c:pt idx="16">
                  <c:v>#N/A</c:v>
                </c:pt>
                <c:pt idx="17">
                  <c:v>#N/A</c:v>
                </c:pt>
                <c:pt idx="18">
                  <c:v>#N/A</c:v>
                </c:pt>
                <c:pt idx="19">
                  <c:v>#N/A</c:v>
                </c:pt>
              </c:numCache>
            </c:numRef>
          </c:val>
          <c:smooth val="0"/>
          <c:extLst>
            <c:ext xmlns:c16="http://schemas.microsoft.com/office/drawing/2014/chart" uri="{C3380CC4-5D6E-409C-BE32-E72D297353CC}">
              <c16:uniqueId val="{00000015-72F0-4AD1-A939-DC71B47F687E}"/>
            </c:ext>
          </c:extLst>
        </c:ser>
        <c:dLbls>
          <c:showLegendKey val="0"/>
          <c:showVal val="0"/>
          <c:showCatName val="0"/>
          <c:showSerName val="0"/>
          <c:showPercent val="0"/>
          <c:showBubbleSize val="0"/>
        </c:dLbls>
        <c:marker val="1"/>
        <c:smooth val="0"/>
        <c:axId val="3"/>
        <c:axId val="4"/>
      </c:lineChart>
      <c:catAx>
        <c:axId val="507823312"/>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rPr lang="en-US"/>
                  <a:t>Insured Index ($/cwt)</a:t>
                </a:r>
              </a:p>
            </c:rich>
          </c:tx>
          <c:overlay val="0"/>
        </c:title>
        <c:numFmt formatCode="&quot;$&quot;#,##0" sourceLinked="1"/>
        <c:majorTickMark val="cross"/>
        <c:minorTickMark val="none"/>
        <c:tickLblPos val="low"/>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ROI (Reward) </a:t>
                </a:r>
              </a:p>
            </c:rich>
          </c:tx>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07823312"/>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400" b="1" i="0" u="none" strike="noStrike" baseline="0">
                    <a:solidFill>
                      <a:srgbClr val="000000"/>
                    </a:solidFill>
                    <a:latin typeface="Calibri"/>
                    <a:ea typeface="Calibri"/>
                    <a:cs typeface="Calibri"/>
                  </a:defRPr>
                </a:pPr>
                <a:r>
                  <a:rPr lang="en-US"/>
                  <a:t>Cost Coverage (Risk)</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
        <c:crosses val="max"/>
        <c:crossBetween val="between"/>
      </c:valAx>
      <c:spPr>
        <a:solidFill>
          <a:schemeClr val="bg1">
            <a:lumMod val="95000"/>
          </a:schemeClr>
        </a:solidFill>
      </c:spPr>
    </c:plotArea>
    <c:legend>
      <c:legendPos val="r"/>
      <c:layout>
        <c:manualLayout>
          <c:xMode val="edge"/>
          <c:yMode val="edge"/>
          <c:x val="7.6106194690265486E-2"/>
          <c:y val="0.8784868923257102"/>
          <c:w val="0.87787684946461331"/>
          <c:h val="6.7729083665338696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 - Per Head</c:v>
            </c:pt>
          </c:strCache>
        </c:strRef>
      </c:tx>
      <c:overlay val="0"/>
      <c:spPr>
        <a:noFill/>
        <a:ln w="25400">
          <a:noFill/>
        </a:ln>
      </c:spPr>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3"/>
          <c:order val="0"/>
          <c:tx>
            <c:strRef>
              <c:f>'Graph Data (HIDE)'!$B$12</c:f>
              <c:strCache>
                <c:ptCount val="1"/>
                <c:pt idx="0">
                  <c:v>Total Costs per Head (incl. LPI Premium) Not Covered By the LPI Insured Value</c:v>
                </c:pt>
              </c:strCache>
            </c:strRef>
          </c:tx>
          <c:spPr>
            <a:ln w="25400">
              <a:solidFill>
                <a:srgbClr val="FF0000"/>
              </a:solidFill>
              <a:prstDash val="solid"/>
            </a:ln>
          </c:spPr>
          <c:marker>
            <c:symbol val="none"/>
          </c:marker>
          <c:val>
            <c:numRef>
              <c:f>'Graph Data (HIDE)'!$C$12:$V$12</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0-8410-4783-BEC7-AAC0D02D6560}"/>
            </c:ext>
          </c:extLst>
        </c:ser>
        <c:ser>
          <c:idx val="0"/>
          <c:order val="1"/>
          <c:tx>
            <c:strRef>
              <c:f>'Graph Data (HIDE)'!$B$13</c:f>
              <c:strCache>
                <c:ptCount val="1"/>
                <c:pt idx="0">
                  <c:v>Net Profit (based on Est. Settlement Price @ $325/cwt + LPI Payment per head)</c:v>
                </c:pt>
              </c:strCache>
            </c:strRef>
          </c:tx>
          <c:spPr>
            <a:ln w="28575" cap="rnd">
              <a:solidFill>
                <a:schemeClr val="tx1"/>
              </a:solidFill>
              <a:prstDash val="solid"/>
              <a:round/>
            </a:ln>
            <a:effectLst/>
          </c:spPr>
          <c:marker>
            <c:symbol val="none"/>
          </c:marker>
          <c:cat>
            <c:numRef>
              <c:f>'Graph Data (HIDE)'!$C$8:$V$8</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(HIDE)'!$C$13:$V$13</c:f>
              <c:numCache>
                <c:formatCode>"$"#,##0.00</c:formatCode>
                <c:ptCount val="20"/>
                <c:pt idx="0">
                  <c:v>583.76129999999966</c:v>
                </c:pt>
                <c:pt idx="1">
                  <c:v>578.70129999999972</c:v>
                </c:pt>
                <c:pt idx="2">
                  <c:v>573.29629999999975</c:v>
                </c:pt>
                <c:pt idx="3">
                  <c:v>568.17879999999968</c:v>
                </c:pt>
                <c:pt idx="4">
                  <c:v>562.77379999999971</c:v>
                </c:pt>
                <c:pt idx="5">
                  <c:v>555.98879999999986</c:v>
                </c:pt>
                <c:pt idx="6">
                  <c:v>550.00879999999984</c:v>
                </c:pt>
                <c:pt idx="7">
                  <c:v>542.64879999999971</c:v>
                </c:pt>
                <c:pt idx="8">
                  <c:v>535.80629999999974</c:v>
                </c:pt>
                <c:pt idx="9">
                  <c:v>528.27379999999971</c:v>
                </c:pt>
                <c:pt idx="10">
                  <c:v>517.86629999999968</c:v>
                </c:pt>
                <c:pt idx="11">
                  <c:v>507.68879999999967</c:v>
                </c:pt>
                <c:pt idx="12">
                  <c:v>496.93629999999985</c:v>
                </c:pt>
                <c:pt idx="13">
                  <c:v>486.18379999999979</c:v>
                </c:pt>
                <c:pt idx="14">
                  <c:v>475.37379999999985</c:v>
                </c:pt>
                <c:pt idx="15">
                  <c:v>#N/A</c:v>
                </c:pt>
                <c:pt idx="16">
                  <c:v>#N/A</c:v>
                </c:pt>
                <c:pt idx="17">
                  <c:v>#N/A</c:v>
                </c:pt>
                <c:pt idx="18">
                  <c:v>#N/A</c:v>
                </c:pt>
                <c:pt idx="19">
                  <c:v>#N/A</c:v>
                </c:pt>
              </c:numCache>
            </c:numRef>
          </c:val>
          <c:smooth val="0"/>
          <c:extLst>
            <c:ext xmlns:c16="http://schemas.microsoft.com/office/drawing/2014/chart" uri="{C3380CC4-5D6E-409C-BE32-E72D297353CC}">
              <c16:uniqueId val="{00000001-8410-4783-BEC7-AAC0D02D6560}"/>
            </c:ext>
          </c:extLst>
        </c:ser>
        <c:ser>
          <c:idx val="4"/>
          <c:order val="2"/>
          <c:tx>
            <c:strRef>
              <c:f>'Graph Data (HIDE)'!$B$14</c:f>
              <c:strCache>
                <c:ptCount val="1"/>
                <c:pt idx="0">
                  <c:v>Marginal Return Over Operating &amp; Fixed Costs (based on Est. Settlement Price @ $325/cwt + LPI Payment per head)</c:v>
                </c:pt>
              </c:strCache>
            </c:strRef>
          </c:tx>
          <c:spPr>
            <a:ln w="28575" cap="rnd">
              <a:solidFill>
                <a:schemeClr val="tx1"/>
              </a:solidFill>
              <a:prstDash val="dash"/>
              <a:round/>
            </a:ln>
            <a:effectLst/>
          </c:spPr>
          <c:marker>
            <c:symbol val="none"/>
          </c:marker>
          <c:val>
            <c:numRef>
              <c:f>'Graph Data (HIDE)'!$C$14:$V$14</c:f>
              <c:numCache>
                <c:formatCode>"$"#,##0.00</c:formatCode>
                <c:ptCount val="20"/>
                <c:pt idx="0">
                  <c:v>745.76129999999966</c:v>
                </c:pt>
                <c:pt idx="1">
                  <c:v>740.70129999999972</c:v>
                </c:pt>
                <c:pt idx="2">
                  <c:v>735.29629999999975</c:v>
                </c:pt>
                <c:pt idx="3">
                  <c:v>730.17879999999968</c:v>
                </c:pt>
                <c:pt idx="4">
                  <c:v>724.77379999999971</c:v>
                </c:pt>
                <c:pt idx="5">
                  <c:v>717.98879999999986</c:v>
                </c:pt>
                <c:pt idx="6">
                  <c:v>712.00879999999984</c:v>
                </c:pt>
                <c:pt idx="7">
                  <c:v>704.64879999999971</c:v>
                </c:pt>
                <c:pt idx="8">
                  <c:v>697.80629999999974</c:v>
                </c:pt>
                <c:pt idx="9">
                  <c:v>690.27379999999971</c:v>
                </c:pt>
                <c:pt idx="10">
                  <c:v>679.86629999999968</c:v>
                </c:pt>
                <c:pt idx="11">
                  <c:v>669.68879999999967</c:v>
                </c:pt>
                <c:pt idx="12">
                  <c:v>658.93629999999985</c:v>
                </c:pt>
                <c:pt idx="13">
                  <c:v>648.18379999999979</c:v>
                </c:pt>
                <c:pt idx="14">
                  <c:v>637.37379999999985</c:v>
                </c:pt>
                <c:pt idx="15">
                  <c:v>#N/A</c:v>
                </c:pt>
                <c:pt idx="16">
                  <c:v>#N/A</c:v>
                </c:pt>
                <c:pt idx="17">
                  <c:v>#N/A</c:v>
                </c:pt>
                <c:pt idx="18">
                  <c:v>#N/A</c:v>
                </c:pt>
                <c:pt idx="19">
                  <c:v>#N/A</c:v>
                </c:pt>
              </c:numCache>
            </c:numRef>
          </c:val>
          <c:smooth val="0"/>
          <c:extLst>
            <c:ext xmlns:c16="http://schemas.microsoft.com/office/drawing/2014/chart" uri="{C3380CC4-5D6E-409C-BE32-E72D297353CC}">
              <c16:uniqueId val="{00000002-8410-4783-BEC7-AAC0D02D6560}"/>
            </c:ext>
          </c:extLst>
        </c:ser>
        <c:ser>
          <c:idx val="5"/>
          <c:order val="3"/>
          <c:tx>
            <c:strRef>
              <c:f>'Graph Data (HIDE)'!$B$15</c:f>
              <c:strCache>
                <c:ptCount val="1"/>
                <c:pt idx="0">
                  <c:v>Op. &amp; Fixed Costs per Head (incl. LPI Premium) Not Covered By the LPI Insured Value</c:v>
                </c:pt>
              </c:strCache>
            </c:strRef>
          </c:tx>
          <c:spPr>
            <a:ln w="28575" cap="rnd">
              <a:solidFill>
                <a:srgbClr val="00B050"/>
              </a:solidFill>
              <a:round/>
            </a:ln>
            <a:effectLst/>
          </c:spPr>
          <c:marker>
            <c:symbol val="none"/>
          </c:marker>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3-8410-4783-BEC7-AAC0D02D6560}"/>
            </c:ext>
          </c:extLst>
        </c:ser>
        <c:dLbls>
          <c:showLegendKey val="0"/>
          <c:showVal val="0"/>
          <c:showCatName val="0"/>
          <c:showSerName val="0"/>
          <c:showPercent val="0"/>
          <c:showBubbleSize val="0"/>
        </c:dLbls>
        <c:smooth val="0"/>
        <c:axId val="507823640"/>
        <c:axId val="1"/>
      </c:lineChart>
      <c:catAx>
        <c:axId val="507823640"/>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US"/>
                  <a:t>Insured Index ($/cwt)</a:t>
                </a:r>
              </a:p>
            </c:rich>
          </c:tx>
          <c:overlay val="0"/>
          <c:spPr>
            <a:noFill/>
            <a:ln w="25400">
              <a:noFill/>
            </a:ln>
          </c:spPr>
        </c:title>
        <c:numFmt formatCode="General"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10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US"/>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507823640"/>
        <c:crosses val="autoZero"/>
        <c:crossBetween val="between"/>
      </c:valAx>
      <c:spPr>
        <a:solidFill>
          <a:schemeClr val="bg1">
            <a:lumMod val="95000"/>
          </a:schemeClr>
        </a:solidFill>
        <a:ln>
          <a:noFill/>
        </a:ln>
        <a:effectLst/>
      </c:spPr>
    </c:plotArea>
    <c:legend>
      <c:legendPos val="r"/>
      <c:layout>
        <c:manualLayout>
          <c:xMode val="edge"/>
          <c:yMode val="edge"/>
          <c:x val="6.4394071953127061E-2"/>
          <c:y val="0.7623770692029832"/>
          <c:w val="0.88257681804925892"/>
          <c:h val="0.19802000987500323"/>
        </c:manualLayout>
      </c:layout>
      <c:overlay val="0"/>
      <c:spPr>
        <a:noFill/>
        <a:ln w="25400">
          <a:noFill/>
        </a:ln>
      </c:spPr>
      <c:txPr>
        <a:bodyPr/>
        <a:lstStyle/>
        <a:p>
          <a:pPr>
            <a:defRPr sz="920"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(HIDE)'!$B$42</c:f>
          <c:strCache>
            <c:ptCount val="1"/>
            <c:pt idx="0">
              <c:v>LPI - Monetizing Risk &amp; Reward ($/cwt)</c:v>
            </c:pt>
          </c:strCache>
        </c:strRef>
      </c:tx>
      <c:overlay val="0"/>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0449067132686599"/>
          <c:y val="0.11109586549206102"/>
          <c:w val="0.8770141626369844"/>
          <c:h val="0.73352002286842843"/>
        </c:manualLayout>
      </c:layout>
      <c:barChart>
        <c:barDir val="col"/>
        <c:grouping val="stacked"/>
        <c:varyColors val="0"/>
        <c:ser>
          <c:idx val="0"/>
          <c:order val="0"/>
          <c:tx>
            <c:strRef>
              <c:f>'Graph Data (HIDE)'!$B$44</c:f>
              <c:strCache>
                <c:ptCount val="1"/>
                <c:pt idx="0">
                  <c:v>$/cwt LPI Covered Risk</c:v>
                </c:pt>
              </c:strCache>
            </c:strRef>
          </c:tx>
          <c:invertIfNegative val="0"/>
          <c:cat>
            <c:numRef>
              <c:f>'Graph Data (HIDE)'!$C$43:$V$43</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(HIDE)'!$C$44:$V$44</c:f>
              <c:numCache>
                <c:formatCode>"$"#,##0</c:formatCode>
                <c:ptCount val="20"/>
                <c:pt idx="0">
                  <c:v>278.75629565217395</c:v>
                </c:pt>
                <c:pt idx="1">
                  <c:v>278.75629565217395</c:v>
                </c:pt>
                <c:pt idx="2">
                  <c:v>278.75629565217395</c:v>
                </c:pt>
                <c:pt idx="3">
                  <c:v>278.75629565217395</c:v>
                </c:pt>
                <c:pt idx="4">
                  <c:v>278.75629565217395</c:v>
                </c:pt>
                <c:pt idx="5">
                  <c:v>278.75629565217395</c:v>
                </c:pt>
                <c:pt idx="6">
                  <c:v>278.75629565217395</c:v>
                </c:pt>
                <c:pt idx="7">
                  <c:v>278.75629565217395</c:v>
                </c:pt>
                <c:pt idx="8">
                  <c:v>278.75629565217395</c:v>
                </c:pt>
                <c:pt idx="9">
                  <c:v>278.75629565217395</c:v>
                </c:pt>
                <c:pt idx="10">
                  <c:v>278.75629565217395</c:v>
                </c:pt>
                <c:pt idx="11">
                  <c:v>278.75629565217395</c:v>
                </c:pt>
                <c:pt idx="12">
                  <c:v>278.75629565217395</c:v>
                </c:pt>
                <c:pt idx="13">
                  <c:v>278.75629565217395</c:v>
                </c:pt>
                <c:pt idx="14">
                  <c:v>278.75629565217395</c:v>
                </c:pt>
                <c:pt idx="15">
                  <c:v>278.75629565217395</c:v>
                </c:pt>
                <c:pt idx="16">
                  <c:v>278.75629565217395</c:v>
                </c:pt>
                <c:pt idx="17">
                  <c:v>278.75629565217395</c:v>
                </c:pt>
                <c:pt idx="18">
                  <c:v>278.75629565217395</c:v>
                </c:pt>
                <c:pt idx="19">
                  <c:v>278.75629565217395</c:v>
                </c:pt>
              </c:numCache>
            </c:numRef>
          </c:val>
          <c:extLst>
            <c:ext xmlns:c16="http://schemas.microsoft.com/office/drawing/2014/chart" uri="{C3380CC4-5D6E-409C-BE32-E72D297353CC}">
              <c16:uniqueId val="{00000000-E053-41FA-851F-5D261A448E43}"/>
            </c:ext>
          </c:extLst>
        </c:ser>
        <c:ser>
          <c:idx val="1"/>
          <c:order val="1"/>
          <c:tx>
            <c:strRef>
              <c:f>'Graph Data (HIDE)'!$B$45</c:f>
              <c:strCache>
                <c:ptCount val="1"/>
                <c:pt idx="0">
                  <c:v>$/cwt Exposed Risk</c:v>
                </c:pt>
              </c:strCache>
            </c:strRef>
          </c:tx>
          <c:invertIfNegative val="0"/>
          <c:cat>
            <c:numRef>
              <c:f>'Graph Data (HIDE)'!$C$43:$V$43</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(HIDE)'!$C$45:$V$45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E053-41FA-851F-5D261A448E43}"/>
            </c:ext>
          </c:extLst>
        </c:ser>
        <c:ser>
          <c:idx val="2"/>
          <c:order val="2"/>
          <c:tx>
            <c:strRef>
              <c:f>'Graph Data (HIDE)'!$B$46</c:f>
              <c:strCache>
                <c:ptCount val="1"/>
                <c:pt idx="0">
                  <c:v>$/cwt Reward @ Est. Mkt. Price $356/cwt</c:v>
                </c:pt>
              </c:strCache>
            </c:strRef>
          </c:tx>
          <c:invertIfNegative val="0"/>
          <c:cat>
            <c:numRef>
              <c:f>'Graph Data (HIDE)'!$C$43:$V$43</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(HIDE)'!$C$46:$V$46</c:f>
              <c:numCache>
                <c:formatCode>"$"#,##0.00</c:formatCode>
                <c:ptCount val="20"/>
                <c:pt idx="0">
                  <c:v>77.243704347826053</c:v>
                </c:pt>
                <c:pt idx="1">
                  <c:v>77.243704347826053</c:v>
                </c:pt>
                <c:pt idx="2">
                  <c:v>77.243704347826053</c:v>
                </c:pt>
                <c:pt idx="3">
                  <c:v>77.243704347826053</c:v>
                </c:pt>
                <c:pt idx="4">
                  <c:v>77.243704347826053</c:v>
                </c:pt>
                <c:pt idx="5">
                  <c:v>77.243704347826053</c:v>
                </c:pt>
                <c:pt idx="6">
                  <c:v>77.243704347826053</c:v>
                </c:pt>
                <c:pt idx="7">
                  <c:v>77.243704347826053</c:v>
                </c:pt>
                <c:pt idx="8">
                  <c:v>77.243704347826053</c:v>
                </c:pt>
                <c:pt idx="9">
                  <c:v>77.243704347826053</c:v>
                </c:pt>
                <c:pt idx="10">
                  <c:v>77.243704347826053</c:v>
                </c:pt>
                <c:pt idx="11">
                  <c:v>77.243704347826053</c:v>
                </c:pt>
                <c:pt idx="12">
                  <c:v>77.243704347826053</c:v>
                </c:pt>
                <c:pt idx="13">
                  <c:v>77.243704347826053</c:v>
                </c:pt>
                <c:pt idx="14">
                  <c:v>77.243704347826053</c:v>
                </c:pt>
                <c:pt idx="15">
                  <c:v>77.243704347826053</c:v>
                </c:pt>
                <c:pt idx="16">
                  <c:v>77.243704347826053</c:v>
                </c:pt>
                <c:pt idx="17">
                  <c:v>77.243704347826053</c:v>
                </c:pt>
                <c:pt idx="18">
                  <c:v>77.243704347826053</c:v>
                </c:pt>
                <c:pt idx="19">
                  <c:v>77.243704347826053</c:v>
                </c:pt>
              </c:numCache>
            </c:numRef>
          </c:val>
          <c:extLst>
            <c:ext xmlns:c16="http://schemas.microsoft.com/office/drawing/2014/chart" uri="{C3380CC4-5D6E-409C-BE32-E72D297353CC}">
              <c16:uniqueId val="{00000002-E053-41FA-851F-5D261A448E43}"/>
            </c:ext>
          </c:extLst>
        </c:ser>
        <c:dLbls>
          <c:showLegendKey val="0"/>
          <c:showVal val="0"/>
          <c:showCatName val="0"/>
          <c:showSerName val="0"/>
          <c:showPercent val="0"/>
          <c:showBubbleSize val="0"/>
        </c:dLbls>
        <c:gapWidth val="75"/>
        <c:overlap val="100"/>
        <c:axId val="510878752"/>
        <c:axId val="1"/>
      </c:barChart>
      <c:catAx>
        <c:axId val="510878752"/>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en-US"/>
                  <a:t>Insured Index ($/cwt)</a:t>
                </a:r>
              </a:p>
            </c:rich>
          </c:tx>
          <c:overlay val="0"/>
        </c:title>
        <c:numFmt formatCode="&quot;$&quot;#,##0"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$/cwt</a:t>
                </a:r>
              </a:p>
            </c:rich>
          </c:tx>
          <c:overlay val="0"/>
        </c:title>
        <c:numFmt formatCode="&quot;$&quot;#,##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510878752"/>
        <c:crosses val="autoZero"/>
        <c:crossBetween val="between"/>
      </c:valAx>
      <c:spPr>
        <a:solidFill>
          <a:schemeClr val="bg1">
            <a:lumMod val="85000"/>
          </a:schemeClr>
        </a:solidFill>
      </c:spPr>
    </c:plotArea>
    <c:legend>
      <c:legendPos val="b"/>
      <c:layout>
        <c:manualLayout>
          <c:xMode val="edge"/>
          <c:yMode val="edge"/>
          <c:x val="5.8007566204287514E-2"/>
          <c:y val="0.88910974247030994"/>
          <c:w val="0.92433848669294649"/>
          <c:h val="5.214521452145215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 - Per Head</c:v>
            </c:pt>
          </c:strCache>
        </c:strRef>
      </c:tx>
      <c:overlay val="0"/>
      <c:spPr>
        <a:noFill/>
        <a:ln w="25400">
          <a:noFill/>
        </a:ln>
      </c:spPr>
      <c:txPr>
        <a:bodyPr/>
        <a:lstStyle/>
        <a:p>
          <a:pPr>
            <a:defRPr sz="18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1"/>
          <c:order val="0"/>
          <c:tx>
            <c:strRef>
              <c:f>'Graph Data (HIDE)'!$B$9</c:f>
              <c:strCache>
                <c:ptCount val="1"/>
                <c:pt idx="0">
                  <c:v>Premium Cost ($/head @ 575 lbs)</c:v>
                </c:pt>
              </c:strCache>
            </c:strRef>
          </c:tx>
          <c:spPr>
            <a:ln w="28575" cap="rnd">
              <a:solidFill>
                <a:schemeClr val="accent2"/>
              </a:solidFill>
              <a:round/>
            </a:ln>
            <a:effectLst/>
          </c:spPr>
          <c:marker>
            <c:symbol val="none"/>
          </c:marker>
          <c:val>
            <c:numRef>
              <c:f>'Graph Data (HIDE)'!$C$9:$V$9</c:f>
              <c:numCache>
                <c:formatCode>"$"#,##0.00</c:formatCode>
                <c:ptCount val="20"/>
                <c:pt idx="0">
                  <c:v>67.39</c:v>
                </c:pt>
                <c:pt idx="1">
                  <c:v>60.949999999999996</c:v>
                </c:pt>
                <c:pt idx="2">
                  <c:v>54.854999999999997</c:v>
                </c:pt>
                <c:pt idx="3">
                  <c:v>48.472499999999997</c:v>
                </c:pt>
                <c:pt idx="4">
                  <c:v>42.377499999999998</c:v>
                </c:pt>
                <c:pt idx="5">
                  <c:v>37.662500000000001</c:v>
                </c:pt>
                <c:pt idx="6">
                  <c:v>32.142499999999998</c:v>
                </c:pt>
                <c:pt idx="7">
                  <c:v>28.002500000000001</c:v>
                </c:pt>
                <c:pt idx="8">
                  <c:v>23.344999999999999</c:v>
                </c:pt>
                <c:pt idx="9">
                  <c:v>19.377500000000001</c:v>
                </c:pt>
                <c:pt idx="10">
                  <c:v>18.285</c:v>
                </c:pt>
                <c:pt idx="11">
                  <c:v>16.962500000000002</c:v>
                </c:pt>
                <c:pt idx="12">
                  <c:v>16.215</c:v>
                </c:pt>
                <c:pt idx="13">
                  <c:v>15.467499999999999</c:v>
                </c:pt>
                <c:pt idx="14">
                  <c:v>14.7775</c:v>
                </c:pt>
                <c:pt idx="15">
                  <c:v>#N/A</c:v>
                </c:pt>
                <c:pt idx="16">
                  <c:v>#N/A</c:v>
                </c:pt>
                <c:pt idx="17">
                  <c:v>#N/A</c:v>
                </c:pt>
                <c:pt idx="18">
                  <c:v>#N/A</c:v>
                </c:pt>
                <c:pt idx="19">
                  <c:v>#N/A</c:v>
                </c:pt>
              </c:numCache>
            </c:numRef>
          </c:val>
          <c:smooth val="0"/>
          <c:extLst>
            <c:ext xmlns:c16="http://schemas.microsoft.com/office/drawing/2014/chart" uri="{C3380CC4-5D6E-409C-BE32-E72D297353CC}">
              <c16:uniqueId val="{00000000-104F-4AF1-8CBD-F4D8845D4183}"/>
            </c:ext>
          </c:extLst>
        </c:ser>
        <c:ser>
          <c:idx val="3"/>
          <c:order val="1"/>
          <c:tx>
            <c:strRef>
              <c:f>'Graph Data (HIDE)'!$B$12</c:f>
              <c:strCache>
                <c:ptCount val="1"/>
                <c:pt idx="0">
                  <c:v>Total Costs per Head (incl. LPI Premium) Not Covered By the LPI Insured Value</c:v>
                </c:pt>
              </c:strCache>
            </c:strRef>
          </c:tx>
          <c:spPr>
            <a:ln w="28575" cap="rnd">
              <a:solidFill>
                <a:schemeClr val="accent4"/>
              </a:solidFill>
              <a:round/>
            </a:ln>
            <a:effectLst/>
          </c:spPr>
          <c:marker>
            <c:symbol val="none"/>
          </c:marker>
          <c:val>
            <c:numRef>
              <c:f>'Graph Data (HIDE)'!$C$12:$V$12</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1-104F-4AF1-8CBD-F4D8845D4183}"/>
            </c:ext>
          </c:extLst>
        </c:ser>
        <c:ser>
          <c:idx val="2"/>
          <c:order val="2"/>
          <c:tx>
            <c:strRef>
              <c:f>'Graph Data (HIDE)'!$B$11</c:f>
              <c:strCache>
                <c:ptCount val="1"/>
                <c:pt idx="0">
                  <c:v>LPI Payment ($/head at Est. Settlement Price = $325/cwt)</c:v>
                </c:pt>
              </c:strCache>
            </c:strRef>
          </c:tx>
          <c:spPr>
            <a:ln w="28575" cap="rnd">
              <a:solidFill>
                <a:schemeClr val="accent3"/>
              </a:solidFill>
              <a:round/>
            </a:ln>
            <a:effectLst/>
          </c:spPr>
          <c:marker>
            <c:symbol val="none"/>
          </c:marker>
          <c:val>
            <c:numRef>
              <c:f>'Graph Data (HIDE)'!$C$11:$V$11</c:f>
              <c:numCache>
                <c:formatCode>"$"#,##0.00</c:formatCode>
                <c:ptCount val="20"/>
                <c:pt idx="0">
                  <c:v>385.25</c:v>
                </c:pt>
                <c:pt idx="1">
                  <c:v>373.75</c:v>
                </c:pt>
                <c:pt idx="2">
                  <c:v>362.25</c:v>
                </c:pt>
                <c:pt idx="3">
                  <c:v>350.75</c:v>
                </c:pt>
                <c:pt idx="4">
                  <c:v>339.25</c:v>
                </c:pt>
                <c:pt idx="5">
                  <c:v>327.75</c:v>
                </c:pt>
                <c:pt idx="6">
                  <c:v>316.25</c:v>
                </c:pt>
                <c:pt idx="7">
                  <c:v>304.75</c:v>
                </c:pt>
                <c:pt idx="8">
                  <c:v>293.25</c:v>
                </c:pt>
                <c:pt idx="9">
                  <c:v>281.75</c:v>
                </c:pt>
                <c:pt idx="10">
                  <c:v>270.25</c:v>
                </c:pt>
                <c:pt idx="11">
                  <c:v>258.75</c:v>
                </c:pt>
                <c:pt idx="12">
                  <c:v>247.25</c:v>
                </c:pt>
                <c:pt idx="13">
                  <c:v>235.75</c:v>
                </c:pt>
                <c:pt idx="14">
                  <c:v>224.25</c:v>
                </c:pt>
                <c:pt idx="15">
                  <c:v>#N/A</c:v>
                </c:pt>
                <c:pt idx="16">
                  <c:v>#N/A</c:v>
                </c:pt>
                <c:pt idx="17">
                  <c:v>#N/A</c:v>
                </c:pt>
                <c:pt idx="18">
                  <c:v>#N/A</c:v>
                </c:pt>
                <c:pt idx="19">
                  <c:v>#N/A</c:v>
                </c:pt>
              </c:numCache>
            </c:numRef>
          </c:val>
          <c:smooth val="0"/>
          <c:extLst>
            <c:ext xmlns:c16="http://schemas.microsoft.com/office/drawing/2014/chart" uri="{C3380CC4-5D6E-409C-BE32-E72D297353CC}">
              <c16:uniqueId val="{00000002-104F-4AF1-8CBD-F4D8845D4183}"/>
            </c:ext>
          </c:extLst>
        </c:ser>
        <c:ser>
          <c:idx val="0"/>
          <c:order val="3"/>
          <c:tx>
            <c:strRef>
              <c:f>'Graph Data (HIDE)'!$B$13</c:f>
              <c:strCache>
                <c:ptCount val="1"/>
                <c:pt idx="0">
                  <c:v>Net Profit (based on Est. Settlement Price @ $325/cwt + LPI Payment per head)</c:v>
                </c:pt>
              </c:strCache>
            </c:strRef>
          </c:tx>
          <c:spPr>
            <a:ln w="28575" cap="rnd">
              <a:solidFill>
                <a:schemeClr val="accent1"/>
              </a:solidFill>
              <a:round/>
            </a:ln>
            <a:effectLst/>
          </c:spPr>
          <c:marker>
            <c:symbol val="none"/>
          </c:marker>
          <c:cat>
            <c:numRef>
              <c:f>'Graph Data (HIDE)'!$C$8:$V$8</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(HIDE)'!$C$13:$V$13</c:f>
              <c:numCache>
                <c:formatCode>"$"#,##0.00</c:formatCode>
                <c:ptCount val="20"/>
                <c:pt idx="0">
                  <c:v>583.76129999999966</c:v>
                </c:pt>
                <c:pt idx="1">
                  <c:v>578.70129999999972</c:v>
                </c:pt>
                <c:pt idx="2">
                  <c:v>573.29629999999975</c:v>
                </c:pt>
                <c:pt idx="3">
                  <c:v>568.17879999999968</c:v>
                </c:pt>
                <c:pt idx="4">
                  <c:v>562.77379999999971</c:v>
                </c:pt>
                <c:pt idx="5">
                  <c:v>555.98879999999986</c:v>
                </c:pt>
                <c:pt idx="6">
                  <c:v>550.00879999999984</c:v>
                </c:pt>
                <c:pt idx="7">
                  <c:v>542.64879999999971</c:v>
                </c:pt>
                <c:pt idx="8">
                  <c:v>535.80629999999974</c:v>
                </c:pt>
                <c:pt idx="9">
                  <c:v>528.27379999999971</c:v>
                </c:pt>
                <c:pt idx="10">
                  <c:v>517.86629999999968</c:v>
                </c:pt>
                <c:pt idx="11">
                  <c:v>507.68879999999967</c:v>
                </c:pt>
                <c:pt idx="12">
                  <c:v>496.93629999999985</c:v>
                </c:pt>
                <c:pt idx="13">
                  <c:v>486.18379999999979</c:v>
                </c:pt>
                <c:pt idx="14">
                  <c:v>475.37379999999985</c:v>
                </c:pt>
                <c:pt idx="15">
                  <c:v>#N/A</c:v>
                </c:pt>
                <c:pt idx="16">
                  <c:v>#N/A</c:v>
                </c:pt>
                <c:pt idx="17">
                  <c:v>#N/A</c:v>
                </c:pt>
                <c:pt idx="18">
                  <c:v>#N/A</c:v>
                </c:pt>
                <c:pt idx="19">
                  <c:v>#N/A</c:v>
                </c:pt>
              </c:numCache>
            </c:numRef>
          </c:val>
          <c:smooth val="0"/>
          <c:extLst>
            <c:ext xmlns:c16="http://schemas.microsoft.com/office/drawing/2014/chart" uri="{C3380CC4-5D6E-409C-BE32-E72D297353CC}">
              <c16:uniqueId val="{00000003-104F-4AF1-8CBD-F4D8845D4183}"/>
            </c:ext>
          </c:extLst>
        </c:ser>
        <c:ser>
          <c:idx val="4"/>
          <c:order val="4"/>
          <c:tx>
            <c:strRef>
              <c:f>'Graph Data (HIDE)'!$B$14</c:f>
              <c:strCache>
                <c:ptCount val="1"/>
                <c:pt idx="0">
                  <c:v>Marginal Return Over Operating &amp; Fixed Costs (based on Est. Settlement Price @ $325/cwt + LPI Payment per head)</c:v>
                </c:pt>
              </c:strCache>
            </c:strRef>
          </c:tx>
          <c:spPr>
            <a:ln w="28575" cap="rnd">
              <a:solidFill>
                <a:schemeClr val="accent5"/>
              </a:solidFill>
              <a:round/>
            </a:ln>
            <a:effectLst/>
          </c:spPr>
          <c:marker>
            <c:symbol val="none"/>
          </c:marker>
          <c:val>
            <c:numRef>
              <c:f>'Graph Data (HIDE)'!$C$14:$V$14</c:f>
              <c:numCache>
                <c:formatCode>"$"#,##0.00</c:formatCode>
                <c:ptCount val="20"/>
                <c:pt idx="0">
                  <c:v>745.76129999999966</c:v>
                </c:pt>
                <c:pt idx="1">
                  <c:v>740.70129999999972</c:v>
                </c:pt>
                <c:pt idx="2">
                  <c:v>735.29629999999975</c:v>
                </c:pt>
                <c:pt idx="3">
                  <c:v>730.17879999999968</c:v>
                </c:pt>
                <c:pt idx="4">
                  <c:v>724.77379999999971</c:v>
                </c:pt>
                <c:pt idx="5">
                  <c:v>717.98879999999986</c:v>
                </c:pt>
                <c:pt idx="6">
                  <c:v>712.00879999999984</c:v>
                </c:pt>
                <c:pt idx="7">
                  <c:v>704.64879999999971</c:v>
                </c:pt>
                <c:pt idx="8">
                  <c:v>697.80629999999974</c:v>
                </c:pt>
                <c:pt idx="9">
                  <c:v>690.27379999999971</c:v>
                </c:pt>
                <c:pt idx="10">
                  <c:v>679.86629999999968</c:v>
                </c:pt>
                <c:pt idx="11">
                  <c:v>669.68879999999967</c:v>
                </c:pt>
                <c:pt idx="12">
                  <c:v>658.93629999999985</c:v>
                </c:pt>
                <c:pt idx="13">
                  <c:v>648.18379999999979</c:v>
                </c:pt>
                <c:pt idx="14">
                  <c:v>637.37379999999985</c:v>
                </c:pt>
                <c:pt idx="15">
                  <c:v>#N/A</c:v>
                </c:pt>
                <c:pt idx="16">
                  <c:v>#N/A</c:v>
                </c:pt>
                <c:pt idx="17">
                  <c:v>#N/A</c:v>
                </c:pt>
                <c:pt idx="18">
                  <c:v>#N/A</c:v>
                </c:pt>
                <c:pt idx="19">
                  <c:v>#N/A</c:v>
                </c:pt>
              </c:numCache>
            </c:numRef>
          </c:val>
          <c:smooth val="0"/>
          <c:extLst>
            <c:ext xmlns:c16="http://schemas.microsoft.com/office/drawing/2014/chart" uri="{C3380CC4-5D6E-409C-BE32-E72D297353CC}">
              <c16:uniqueId val="{00000004-104F-4AF1-8CBD-F4D8845D4183}"/>
            </c:ext>
          </c:extLst>
        </c:ser>
        <c:ser>
          <c:idx val="5"/>
          <c:order val="5"/>
          <c:tx>
            <c:strRef>
              <c:f>'Graph Data (HIDE)'!$B$15</c:f>
              <c:strCache>
                <c:ptCount val="1"/>
                <c:pt idx="0">
                  <c:v>Op. &amp; Fixed Costs per Head (incl. LPI Premium) Not Covered By the LPI Insured Value</c:v>
                </c:pt>
              </c:strCache>
            </c:strRef>
          </c:tx>
          <c:spPr>
            <a:ln w="28575" cap="rnd">
              <a:solidFill>
                <a:schemeClr val="accent6"/>
              </a:solidFill>
              <a:round/>
            </a:ln>
            <a:effectLst/>
          </c:spPr>
          <c:marker>
            <c:symbol val="none"/>
          </c:marker>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5-104F-4AF1-8CBD-F4D8845D4183}"/>
            </c:ext>
          </c:extLst>
        </c:ser>
        <c:dLbls>
          <c:showLegendKey val="0"/>
          <c:showVal val="0"/>
          <c:showCatName val="0"/>
          <c:showSerName val="0"/>
          <c:showPercent val="0"/>
          <c:showBubbleSize val="0"/>
        </c:dLbls>
        <c:smooth val="0"/>
        <c:axId val="510877440"/>
        <c:axId val="1"/>
      </c:lineChart>
      <c:catAx>
        <c:axId val="510877440"/>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US"/>
                  <a:t>Insured Index ($/cwt)</a:t>
                </a:r>
              </a:p>
            </c:rich>
          </c:tx>
          <c:overlay val="0"/>
          <c:spPr>
            <a:noFill/>
            <a:ln w="25400">
              <a:noFill/>
            </a:ln>
          </c:spPr>
        </c:title>
        <c:numFmt formatCode="General"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US"/>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510877440"/>
        <c:crosses val="autoZero"/>
        <c:crossBetween val="between"/>
      </c:valAx>
      <c:spPr>
        <a:solidFill>
          <a:schemeClr val="bg1">
            <a:lumMod val="95000"/>
          </a:schemeClr>
        </a:solidFill>
        <a:ln>
          <a:noFill/>
        </a:ln>
        <a:effectLst/>
      </c:spPr>
    </c:plotArea>
    <c:legend>
      <c:legendPos val="r"/>
      <c:layout>
        <c:manualLayout>
          <c:xMode val="edge"/>
          <c:yMode val="edge"/>
          <c:wMode val="edge"/>
          <c:hMode val="edge"/>
          <c:x val="6.7088607594936706E-2"/>
          <c:y val="0.75848450081464369"/>
          <c:w val="0.94430432904747663"/>
          <c:h val="0.96606975026325304"/>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 Data (HIDE)'!$B$7</c:f>
          <c:strCache>
            <c:ptCount val="1"/>
            <c:pt idx="0">
              <c:v>LPI - Per Head</c:v>
            </c:pt>
          </c:strCache>
        </c:strRef>
      </c:tx>
      <c:overlay val="0"/>
      <c:spPr>
        <a:noFill/>
        <a:ln w="25400">
          <a:noFill/>
        </a:ln>
      </c:spPr>
      <c:txPr>
        <a:bodyPr/>
        <a:lstStyle/>
        <a:p>
          <a:pPr>
            <a:defRPr sz="1400" b="1" i="0" u="none" strike="noStrike" baseline="0">
              <a:solidFill>
                <a:srgbClr val="0066CC"/>
              </a:solidFill>
              <a:latin typeface="Calibri"/>
              <a:ea typeface="Calibri"/>
              <a:cs typeface="Calibri"/>
            </a:defRPr>
          </a:pPr>
          <a:endParaRPr lang="en-US"/>
        </a:p>
      </c:txPr>
    </c:title>
    <c:autoTitleDeleted val="0"/>
    <c:plotArea>
      <c:layout>
        <c:manualLayout>
          <c:layoutTarget val="inner"/>
          <c:xMode val="edge"/>
          <c:yMode val="edge"/>
          <c:x val="0.11858812585135718"/>
          <c:y val="9.8316766070245212E-2"/>
          <c:w val="0.83318714907472025"/>
          <c:h val="0.56702389338509629"/>
        </c:manualLayout>
      </c:layout>
      <c:lineChart>
        <c:grouping val="standard"/>
        <c:varyColors val="0"/>
        <c:ser>
          <c:idx val="1"/>
          <c:order val="0"/>
          <c:tx>
            <c:strRef>
              <c:f>'Graph Data (HIDE)'!$B$9</c:f>
              <c:strCache>
                <c:ptCount val="1"/>
                <c:pt idx="0">
                  <c:v>Premium Cost ($/head @ 575 lbs)</c:v>
                </c:pt>
              </c:strCache>
            </c:strRef>
          </c:tx>
          <c:spPr>
            <a:ln w="28575" cap="rnd">
              <a:solidFill>
                <a:schemeClr val="accent2"/>
              </a:solidFill>
              <a:round/>
            </a:ln>
            <a:effectLst/>
          </c:spPr>
          <c:marker>
            <c:symbol val="none"/>
          </c:marker>
          <c:cat>
            <c:numRef>
              <c:f>'Graph Data (HIDE)'!$C$8:$V$8</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(HIDE)'!$C$9:$V$9</c:f>
              <c:numCache>
                <c:formatCode>"$"#,##0.00</c:formatCode>
                <c:ptCount val="20"/>
                <c:pt idx="0">
                  <c:v>67.39</c:v>
                </c:pt>
                <c:pt idx="1">
                  <c:v>60.949999999999996</c:v>
                </c:pt>
                <c:pt idx="2">
                  <c:v>54.854999999999997</c:v>
                </c:pt>
                <c:pt idx="3">
                  <c:v>48.472499999999997</c:v>
                </c:pt>
                <c:pt idx="4">
                  <c:v>42.377499999999998</c:v>
                </c:pt>
                <c:pt idx="5">
                  <c:v>37.662500000000001</c:v>
                </c:pt>
                <c:pt idx="6">
                  <c:v>32.142499999999998</c:v>
                </c:pt>
                <c:pt idx="7">
                  <c:v>28.002500000000001</c:v>
                </c:pt>
                <c:pt idx="8">
                  <c:v>23.344999999999999</c:v>
                </c:pt>
                <c:pt idx="9">
                  <c:v>19.377500000000001</c:v>
                </c:pt>
                <c:pt idx="10">
                  <c:v>18.285</c:v>
                </c:pt>
                <c:pt idx="11">
                  <c:v>16.962500000000002</c:v>
                </c:pt>
                <c:pt idx="12">
                  <c:v>16.215</c:v>
                </c:pt>
                <c:pt idx="13">
                  <c:v>15.467499999999999</c:v>
                </c:pt>
                <c:pt idx="14">
                  <c:v>14.7775</c:v>
                </c:pt>
                <c:pt idx="15">
                  <c:v>#N/A</c:v>
                </c:pt>
                <c:pt idx="16">
                  <c:v>#N/A</c:v>
                </c:pt>
                <c:pt idx="17">
                  <c:v>#N/A</c:v>
                </c:pt>
                <c:pt idx="18">
                  <c:v>#N/A</c:v>
                </c:pt>
                <c:pt idx="19">
                  <c:v>#N/A</c:v>
                </c:pt>
              </c:numCache>
            </c:numRef>
          </c:val>
          <c:smooth val="0"/>
          <c:extLst>
            <c:ext xmlns:c16="http://schemas.microsoft.com/office/drawing/2014/chart" uri="{C3380CC4-5D6E-409C-BE32-E72D297353CC}">
              <c16:uniqueId val="{00000000-7F90-4694-BCD5-3E1D02968DF7}"/>
            </c:ext>
          </c:extLst>
        </c:ser>
        <c:ser>
          <c:idx val="2"/>
          <c:order val="1"/>
          <c:tx>
            <c:strRef>
              <c:f>'Graph Data (HIDE)'!$B$11</c:f>
              <c:strCache>
                <c:ptCount val="1"/>
                <c:pt idx="0">
                  <c:v>LPI Payment ($/head at Est. Settlement Price = $325/cwt)</c:v>
                </c:pt>
              </c:strCache>
            </c:strRef>
          </c:tx>
          <c:spPr>
            <a:ln w="28575" cap="rnd">
              <a:solidFill>
                <a:schemeClr val="accent3"/>
              </a:solidFill>
              <a:round/>
            </a:ln>
            <a:effectLst/>
          </c:spPr>
          <c:marker>
            <c:symbol val="none"/>
          </c:marker>
          <c:cat>
            <c:numRef>
              <c:f>'Graph Data (HIDE)'!$C$8:$V$8</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(HIDE)'!$C$11:$V$11</c:f>
              <c:numCache>
                <c:formatCode>"$"#,##0.00</c:formatCode>
                <c:ptCount val="20"/>
                <c:pt idx="0">
                  <c:v>385.25</c:v>
                </c:pt>
                <c:pt idx="1">
                  <c:v>373.75</c:v>
                </c:pt>
                <c:pt idx="2">
                  <c:v>362.25</c:v>
                </c:pt>
                <c:pt idx="3">
                  <c:v>350.75</c:v>
                </c:pt>
                <c:pt idx="4">
                  <c:v>339.25</c:v>
                </c:pt>
                <c:pt idx="5">
                  <c:v>327.75</c:v>
                </c:pt>
                <c:pt idx="6">
                  <c:v>316.25</c:v>
                </c:pt>
                <c:pt idx="7">
                  <c:v>304.75</c:v>
                </c:pt>
                <c:pt idx="8">
                  <c:v>293.25</c:v>
                </c:pt>
                <c:pt idx="9">
                  <c:v>281.75</c:v>
                </c:pt>
                <c:pt idx="10">
                  <c:v>270.25</c:v>
                </c:pt>
                <c:pt idx="11">
                  <c:v>258.75</c:v>
                </c:pt>
                <c:pt idx="12">
                  <c:v>247.25</c:v>
                </c:pt>
                <c:pt idx="13">
                  <c:v>235.75</c:v>
                </c:pt>
                <c:pt idx="14">
                  <c:v>224.25</c:v>
                </c:pt>
                <c:pt idx="15">
                  <c:v>#N/A</c:v>
                </c:pt>
                <c:pt idx="16">
                  <c:v>#N/A</c:v>
                </c:pt>
                <c:pt idx="17">
                  <c:v>#N/A</c:v>
                </c:pt>
                <c:pt idx="18">
                  <c:v>#N/A</c:v>
                </c:pt>
                <c:pt idx="19">
                  <c:v>#N/A</c:v>
                </c:pt>
              </c:numCache>
            </c:numRef>
          </c:val>
          <c:smooth val="0"/>
          <c:extLst>
            <c:ext xmlns:c16="http://schemas.microsoft.com/office/drawing/2014/chart" uri="{C3380CC4-5D6E-409C-BE32-E72D297353CC}">
              <c16:uniqueId val="{00000001-7F90-4694-BCD5-3E1D02968DF7}"/>
            </c:ext>
          </c:extLst>
        </c:ser>
        <c:ser>
          <c:idx val="4"/>
          <c:order val="2"/>
          <c:tx>
            <c:strRef>
              <c:f>'Graph Data (HIDE)'!$B$14</c:f>
              <c:strCache>
                <c:ptCount val="1"/>
                <c:pt idx="0">
                  <c:v>Marginal Return Over Operating &amp; Fixed Costs (based on Est. Settlement Price @ $325/cwt + LPI Payment per head)</c:v>
                </c:pt>
              </c:strCache>
            </c:strRef>
          </c:tx>
          <c:spPr>
            <a:ln w="28575" cap="rnd">
              <a:solidFill>
                <a:schemeClr val="accent5"/>
              </a:solidFill>
              <a:round/>
            </a:ln>
            <a:effectLst/>
          </c:spPr>
          <c:marker>
            <c:symbol val="none"/>
          </c:marker>
          <c:cat>
            <c:numRef>
              <c:f>'Graph Data (HIDE)'!$C$8:$V$8</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(HIDE)'!$C$14:$V$14</c:f>
              <c:numCache>
                <c:formatCode>"$"#,##0.00</c:formatCode>
                <c:ptCount val="20"/>
                <c:pt idx="0">
                  <c:v>745.76129999999966</c:v>
                </c:pt>
                <c:pt idx="1">
                  <c:v>740.70129999999972</c:v>
                </c:pt>
                <c:pt idx="2">
                  <c:v>735.29629999999975</c:v>
                </c:pt>
                <c:pt idx="3">
                  <c:v>730.17879999999968</c:v>
                </c:pt>
                <c:pt idx="4">
                  <c:v>724.77379999999971</c:v>
                </c:pt>
                <c:pt idx="5">
                  <c:v>717.98879999999986</c:v>
                </c:pt>
                <c:pt idx="6">
                  <c:v>712.00879999999984</c:v>
                </c:pt>
                <c:pt idx="7">
                  <c:v>704.64879999999971</c:v>
                </c:pt>
                <c:pt idx="8">
                  <c:v>697.80629999999974</c:v>
                </c:pt>
                <c:pt idx="9">
                  <c:v>690.27379999999971</c:v>
                </c:pt>
                <c:pt idx="10">
                  <c:v>679.86629999999968</c:v>
                </c:pt>
                <c:pt idx="11">
                  <c:v>669.68879999999967</c:v>
                </c:pt>
                <c:pt idx="12">
                  <c:v>658.93629999999985</c:v>
                </c:pt>
                <c:pt idx="13">
                  <c:v>648.18379999999979</c:v>
                </c:pt>
                <c:pt idx="14">
                  <c:v>637.37379999999985</c:v>
                </c:pt>
                <c:pt idx="15">
                  <c:v>#N/A</c:v>
                </c:pt>
                <c:pt idx="16">
                  <c:v>#N/A</c:v>
                </c:pt>
                <c:pt idx="17">
                  <c:v>#N/A</c:v>
                </c:pt>
                <c:pt idx="18">
                  <c:v>#N/A</c:v>
                </c:pt>
                <c:pt idx="19">
                  <c:v>#N/A</c:v>
                </c:pt>
              </c:numCache>
            </c:numRef>
          </c:val>
          <c:smooth val="0"/>
          <c:extLst>
            <c:ext xmlns:c16="http://schemas.microsoft.com/office/drawing/2014/chart" uri="{C3380CC4-5D6E-409C-BE32-E72D297353CC}">
              <c16:uniqueId val="{00000002-7F90-4694-BCD5-3E1D02968DF7}"/>
            </c:ext>
          </c:extLst>
        </c:ser>
        <c:ser>
          <c:idx val="5"/>
          <c:order val="3"/>
          <c:tx>
            <c:strRef>
              <c:f>'Graph Data (HIDE)'!$B$15</c:f>
              <c:strCache>
                <c:ptCount val="1"/>
                <c:pt idx="0">
                  <c:v>Op. &amp; Fixed Costs per Head (incl. LPI Premium) Not Covered By the LPI Insured Value</c:v>
                </c:pt>
              </c:strCache>
            </c:strRef>
          </c:tx>
          <c:spPr>
            <a:ln w="28575" cap="rnd">
              <a:solidFill>
                <a:schemeClr val="accent6"/>
              </a:solidFill>
              <a:round/>
            </a:ln>
            <a:effectLst/>
          </c:spPr>
          <c:marker>
            <c:symbol val="none"/>
          </c:marker>
          <c:cat>
            <c:numRef>
              <c:f>'Graph Data (HIDE)'!$C$8:$V$8</c:f>
              <c:numCache>
                <c:formatCode>"$"#,##0</c:formatCode>
                <c:ptCount val="20"/>
                <c:pt idx="0">
                  <c:v>392</c:v>
                </c:pt>
                <c:pt idx="1">
                  <c:v>390</c:v>
                </c:pt>
                <c:pt idx="2">
                  <c:v>388</c:v>
                </c:pt>
                <c:pt idx="3">
                  <c:v>386</c:v>
                </c:pt>
                <c:pt idx="4">
                  <c:v>384</c:v>
                </c:pt>
                <c:pt idx="5">
                  <c:v>382</c:v>
                </c:pt>
                <c:pt idx="6">
                  <c:v>380</c:v>
                </c:pt>
                <c:pt idx="7">
                  <c:v>378</c:v>
                </c:pt>
                <c:pt idx="8">
                  <c:v>376</c:v>
                </c:pt>
                <c:pt idx="9">
                  <c:v>374</c:v>
                </c:pt>
                <c:pt idx="10">
                  <c:v>372</c:v>
                </c:pt>
                <c:pt idx="11">
                  <c:v>370</c:v>
                </c:pt>
                <c:pt idx="12">
                  <c:v>368</c:v>
                </c:pt>
                <c:pt idx="13">
                  <c:v>366</c:v>
                </c:pt>
                <c:pt idx="14">
                  <c:v>364</c:v>
                </c:pt>
                <c:pt idx="15">
                  <c:v>362</c:v>
                </c:pt>
                <c:pt idx="16">
                  <c:v>360</c:v>
                </c:pt>
                <c:pt idx="17">
                  <c:v>358</c:v>
                </c:pt>
                <c:pt idx="18">
                  <c:v>356</c:v>
                </c:pt>
                <c:pt idx="19">
                  <c:v>354</c:v>
                </c:pt>
              </c:numCache>
            </c:numRef>
          </c:cat>
          <c:val>
            <c:numRef>
              <c:f>'Graph Data (HIDE)'!$C$15:$V$15</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6="http://schemas.microsoft.com/office/drawing/2014/chart" uri="{C3380CC4-5D6E-409C-BE32-E72D297353CC}">
              <c16:uniqueId val="{00000003-7F90-4694-BCD5-3E1D02968DF7}"/>
            </c:ext>
          </c:extLst>
        </c:ser>
        <c:dLbls>
          <c:showLegendKey val="0"/>
          <c:showVal val="0"/>
          <c:showCatName val="0"/>
          <c:showSerName val="0"/>
          <c:showPercent val="0"/>
          <c:showBubbleSize val="0"/>
        </c:dLbls>
        <c:smooth val="0"/>
        <c:axId val="510871536"/>
        <c:axId val="1"/>
      </c:lineChart>
      <c:catAx>
        <c:axId val="510871536"/>
        <c:scaling>
          <c:orientation val="minMax"/>
        </c:scaling>
        <c:delete val="0"/>
        <c:axPos val="b"/>
        <c:title>
          <c:tx>
            <c:rich>
              <a:bodyPr/>
              <a:lstStyle/>
              <a:p>
                <a:pPr>
                  <a:defRPr sz="1200" b="1" i="0" u="none" strike="noStrike" baseline="0">
                    <a:solidFill>
                      <a:srgbClr val="333333"/>
                    </a:solidFill>
                    <a:latin typeface="Calibri"/>
                    <a:ea typeface="Calibri"/>
                    <a:cs typeface="Calibri"/>
                  </a:defRPr>
                </a:pPr>
                <a:r>
                  <a:rPr lang="en-US"/>
                  <a:t>Insured Index ($/cwt)</a:t>
                </a:r>
              </a:p>
            </c:rich>
          </c:tx>
          <c:overlay val="0"/>
          <c:spPr>
            <a:noFill/>
            <a:ln w="25400">
              <a:noFill/>
            </a:ln>
          </c:spPr>
        </c:title>
        <c:numFmt formatCode="&quot;$&quot;#,##0" sourceLinked="1"/>
        <c:majorTickMark val="none"/>
        <c:minorTickMark val="none"/>
        <c:tickLblPos val="low"/>
        <c:spPr>
          <a:noFill/>
          <a:ln w="25400"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200" b="1" i="0" u="none" strike="noStrike" baseline="0">
                    <a:solidFill>
                      <a:srgbClr val="333333"/>
                    </a:solidFill>
                    <a:latin typeface="Calibri"/>
                    <a:ea typeface="Calibri"/>
                    <a:cs typeface="Calibri"/>
                  </a:defRPr>
                </a:pPr>
                <a:r>
                  <a:rPr lang="en-US"/>
                  <a:t>$ per Head</a:t>
                </a:r>
              </a:p>
            </c:rich>
          </c:tx>
          <c:overlay val="0"/>
          <c:spPr>
            <a:noFill/>
            <a:ln w="25400">
              <a:noFill/>
            </a:ln>
          </c:spPr>
        </c:title>
        <c:numFmt formatCode="&quot;$&quot;#,##0.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510871536"/>
        <c:crosses val="autoZero"/>
        <c:crossBetween val="between"/>
      </c:valAx>
      <c:spPr>
        <a:solidFill>
          <a:schemeClr val="bg1">
            <a:lumMod val="95000"/>
          </a:schemeClr>
        </a:solidFill>
        <a:ln>
          <a:noFill/>
        </a:ln>
        <a:effectLst/>
      </c:spPr>
    </c:plotArea>
    <c:legend>
      <c:legendPos val="r"/>
      <c:layout>
        <c:manualLayout>
          <c:xMode val="edge"/>
          <c:yMode val="edge"/>
          <c:wMode val="edge"/>
          <c:hMode val="edge"/>
          <c:x val="6.9620253164556958E-2"/>
          <c:y val="0.76788382474088546"/>
          <c:w val="0.93417774676899568"/>
          <c:h val="0.97372339406479291"/>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0"/>
    <c:dispBlanksAs val="span"/>
    <c:showDLblsOverMax val="0"/>
  </c:chart>
  <c:spPr>
    <a:solidFill>
      <a:schemeClr val="bg1"/>
    </a:solidFill>
    <a:ln w="12700"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User Guide'!A5"/><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hyperlink" Target="#'Cost of Production'!A1"/><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10" Type="http://schemas.openxmlformats.org/officeDocument/2006/relationships/image" Target="../media/image2.JPG"/><Relationship Id="rId4" Type="http://schemas.openxmlformats.org/officeDocument/2006/relationships/chart" Target="../charts/chart2.xml"/><Relationship Id="rId9" Type="http://schemas.openxmlformats.org/officeDocument/2006/relationships/hyperlink" Target="https://www.gov.mb.ca/agriculture/farm-management/farm-business-management-contacts.html"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 LPI Calculator'!C9"/></Relationships>
</file>

<file path=xl/drawings/_rels/drawing8.xml.rels><?xml version="1.0" encoding="UTF-8" standalone="yes"?>
<Relationships xmlns="http://schemas.openxmlformats.org/package/2006/relationships"><Relationship Id="rId3" Type="http://schemas.openxmlformats.org/officeDocument/2006/relationships/hyperlink" Target="#'User Guide'!A5"/><Relationship Id="rId2" Type="http://schemas.openxmlformats.org/officeDocument/2006/relationships/hyperlink" Target="#' LPI Calculator'!C9"/><Relationship Id="rId1" Type="http://schemas.openxmlformats.org/officeDocument/2006/relationships/hyperlink" Target="https://www.gov.mb.ca/agriculture/farm-management/cost-production/index.html#Livestock" TargetMode="Externa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hyperlink" Target="mailto:mbfarmbusiness@gov.mb.ca" TargetMode="External"/><Relationship Id="rId2" Type="http://schemas.openxmlformats.org/officeDocument/2006/relationships/hyperlink" Target="http://www.gov.mb.ca/agriculture/contact/index.html" TargetMode="External"/><Relationship Id="rId1" Type="http://schemas.openxmlformats.org/officeDocument/2006/relationships/image" Target="../media/image1.jpeg"/><Relationship Id="rId5" Type="http://schemas.openxmlformats.org/officeDocument/2006/relationships/hyperlink" Target="#'Cost of Production'!A1"/><Relationship Id="rId4" Type="http://schemas.openxmlformats.org/officeDocument/2006/relationships/hyperlink" Target="http://www.gov.mb.ca/agriculture/business-and-economics/farm-business-management-contacts.html"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714375</xdr:colOff>
      <xdr:row>0</xdr:row>
      <xdr:rowOff>114300</xdr:rowOff>
    </xdr:from>
    <xdr:to>
      <xdr:col>21</xdr:col>
      <xdr:colOff>533400</xdr:colOff>
      <xdr:row>1</xdr:row>
      <xdr:rowOff>190500</xdr:rowOff>
    </xdr:to>
    <xdr:pic>
      <xdr:nvPicPr>
        <xdr:cNvPr id="1029371" name="Picture 6" descr="GovMB_Logo_black-1374 10percent.jpg">
          <a:extLst>
            <a:ext uri="{FF2B5EF4-FFF2-40B4-BE49-F238E27FC236}">
              <a16:creationId xmlns:a16="http://schemas.microsoft.com/office/drawing/2014/main" id="{00000000-0008-0000-0000-0000FBB40F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2400" y="114300"/>
          <a:ext cx="20764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318136</xdr:colOff>
      <xdr:row>14</xdr:row>
      <xdr:rowOff>92872</xdr:rowOff>
    </xdr:from>
    <xdr:to>
      <xdr:col>10</xdr:col>
      <xdr:colOff>667216</xdr:colOff>
      <xdr:row>15</xdr:row>
      <xdr:rowOff>142876</xdr:rowOff>
    </xdr:to>
    <xdr:sp macro="" textlink="">
      <xdr:nvSpPr>
        <xdr:cNvPr id="8" name="TextBox 7">
          <a:hlinkClick xmlns:r="http://schemas.openxmlformats.org/officeDocument/2006/relationships" r:id="rId2" tooltip="Click here to go to the cow calf cost worksheet."/>
          <a:extLst>
            <a:ext uri="{FF2B5EF4-FFF2-40B4-BE49-F238E27FC236}">
              <a16:creationId xmlns:a16="http://schemas.microsoft.com/office/drawing/2014/main" id="{00000000-0008-0000-0000-000008000000}"/>
            </a:ext>
          </a:extLst>
        </xdr:cNvPr>
        <xdr:cNvSpPr txBox="1"/>
      </xdr:nvSpPr>
      <xdr:spPr>
        <a:xfrm>
          <a:off x="5207795" y="3009903"/>
          <a:ext cx="4105274" cy="276223"/>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mn-cs"/>
            </a:rPr>
            <a:t>Click here to enter</a:t>
          </a:r>
          <a:r>
            <a:rPr lang="en-CA" sz="1200" b="1" i="0" u="sng" baseline="0">
              <a:solidFill>
                <a:srgbClr val="0000FF"/>
              </a:solidFill>
              <a:effectLst/>
              <a:latin typeface="Arial" panose="020B0604020202020204" pitchFamily="34" charset="0"/>
              <a:ea typeface="+mn-ea"/>
              <a:cs typeface="+mn-cs"/>
            </a:rPr>
            <a:t> your c</a:t>
          </a:r>
          <a:r>
            <a:rPr lang="en-CA" sz="1200" b="1" i="0" u="sng">
              <a:solidFill>
                <a:srgbClr val="0000FF"/>
              </a:solidFill>
              <a:effectLst/>
              <a:latin typeface="Arial" panose="020B0604020202020204" pitchFamily="34" charset="0"/>
              <a:ea typeface="+mn-ea"/>
              <a:cs typeface="+mn-cs"/>
            </a:rPr>
            <a:t>ow-calf production costs</a:t>
          </a:r>
          <a:endParaRPr lang="en-US" sz="1200" b="1">
            <a:solidFill>
              <a:srgbClr val="0000FF"/>
            </a:solidFill>
            <a:effectLst/>
            <a:latin typeface="Arial" panose="020B0604020202020204" pitchFamily="34" charset="0"/>
          </a:endParaRPr>
        </a:p>
        <a:p>
          <a:endParaRPr lang="en-CA" sz="1200" b="1">
            <a:latin typeface="Arial" pitchFamily="34" charset="0"/>
            <a:cs typeface="Arial" pitchFamily="34" charset="0"/>
          </a:endParaRPr>
        </a:p>
      </xdr:txBody>
    </xdr:sp>
    <xdr:clientData/>
  </xdr:twoCellAnchor>
  <xdr:twoCellAnchor>
    <xdr:from>
      <xdr:col>0</xdr:col>
      <xdr:colOff>0</xdr:colOff>
      <xdr:row>64</xdr:row>
      <xdr:rowOff>0</xdr:rowOff>
    </xdr:from>
    <xdr:to>
      <xdr:col>5</xdr:col>
      <xdr:colOff>485775</xdr:colOff>
      <xdr:row>84</xdr:row>
      <xdr:rowOff>219075</xdr:rowOff>
    </xdr:to>
    <xdr:graphicFrame macro="">
      <xdr:nvGraphicFramePr>
        <xdr:cNvPr id="1029375" name="Chart 2">
          <a:extLst>
            <a:ext uri="{FF2B5EF4-FFF2-40B4-BE49-F238E27FC236}">
              <a16:creationId xmlns:a16="http://schemas.microsoft.com/office/drawing/2014/main" id="{00000000-0008-0000-0000-0000FFB4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514350</xdr:colOff>
      <xdr:row>64</xdr:row>
      <xdr:rowOff>9525</xdr:rowOff>
    </xdr:from>
    <xdr:to>
      <xdr:col>21</xdr:col>
      <xdr:colOff>619125</xdr:colOff>
      <xdr:row>85</xdr:row>
      <xdr:rowOff>9525</xdr:rowOff>
    </xdr:to>
    <xdr:graphicFrame macro="">
      <xdr:nvGraphicFramePr>
        <xdr:cNvPr id="1029376" name="Chart 4">
          <a:extLst>
            <a:ext uri="{FF2B5EF4-FFF2-40B4-BE49-F238E27FC236}">
              <a16:creationId xmlns:a16="http://schemas.microsoft.com/office/drawing/2014/main" id="{00000000-0008-0000-0000-000000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457200</xdr:colOff>
      <xdr:row>64</xdr:row>
      <xdr:rowOff>9525</xdr:rowOff>
    </xdr:from>
    <xdr:to>
      <xdr:col>13</xdr:col>
      <xdr:colOff>571500</xdr:colOff>
      <xdr:row>84</xdr:row>
      <xdr:rowOff>219075</xdr:rowOff>
    </xdr:to>
    <xdr:graphicFrame macro="">
      <xdr:nvGraphicFramePr>
        <xdr:cNvPr id="1029377" name="Chart 4">
          <a:extLst>
            <a:ext uri="{FF2B5EF4-FFF2-40B4-BE49-F238E27FC236}">
              <a16:creationId xmlns:a16="http://schemas.microsoft.com/office/drawing/2014/main" id="{00000000-0008-0000-0000-000001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0</xdr:rowOff>
    </xdr:from>
    <xdr:to>
      <xdr:col>8</xdr:col>
      <xdr:colOff>390525</xdr:colOff>
      <xdr:row>107</xdr:row>
      <xdr:rowOff>9525</xdr:rowOff>
    </xdr:to>
    <xdr:graphicFrame macro="">
      <xdr:nvGraphicFramePr>
        <xdr:cNvPr id="1029378" name="Chart 4">
          <a:extLst>
            <a:ext uri="{FF2B5EF4-FFF2-40B4-BE49-F238E27FC236}">
              <a16:creationId xmlns:a16="http://schemas.microsoft.com/office/drawing/2014/main" id="{00000000-0008-0000-0000-000002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581025</xdr:colOff>
      <xdr:row>86</xdr:row>
      <xdr:rowOff>0</xdr:rowOff>
    </xdr:from>
    <xdr:to>
      <xdr:col>21</xdr:col>
      <xdr:colOff>609600</xdr:colOff>
      <xdr:row>107</xdr:row>
      <xdr:rowOff>9525</xdr:rowOff>
    </xdr:to>
    <xdr:graphicFrame macro="">
      <xdr:nvGraphicFramePr>
        <xdr:cNvPr id="1029379" name="Chart 2">
          <a:extLst>
            <a:ext uri="{FF2B5EF4-FFF2-40B4-BE49-F238E27FC236}">
              <a16:creationId xmlns:a16="http://schemas.microsoft.com/office/drawing/2014/main" id="{00000000-0008-0000-0000-000003B5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59532</xdr:colOff>
      <xdr:row>6</xdr:row>
      <xdr:rowOff>11906</xdr:rowOff>
    </xdr:from>
    <xdr:to>
      <xdr:col>1</xdr:col>
      <xdr:colOff>2308133</xdr:colOff>
      <xdr:row>7</xdr:row>
      <xdr:rowOff>70960</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000-00000C000000}"/>
            </a:ext>
          </a:extLst>
        </xdr:cNvPr>
        <xdr:cNvSpPr txBox="1"/>
      </xdr:nvSpPr>
      <xdr:spPr>
        <a:xfrm>
          <a:off x="59532" y="1381125"/>
          <a:ext cx="2393156" cy="292893"/>
        </a:xfrm>
        <a:prstGeom prst="rect">
          <a:avLst/>
        </a:prstGeom>
        <a:solidFill>
          <a:schemeClr val="lt1"/>
        </a:solidFill>
        <a:ln w="12700" cmpd="sng">
          <a:solidFill>
            <a:schemeClr val="lt1">
              <a:shade val="50000"/>
            </a:schemeClr>
          </a:solidFill>
        </a:ln>
        <a:effectLst>
          <a:outerShdw blurRad="50800" dist="50800" dir="5400000" algn="ctr" rotWithShape="0">
            <a:schemeClr val="bg1">
              <a:lumMod val="65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u="sng" baseline="0">
              <a:solidFill>
                <a:srgbClr val="0000FF"/>
              </a:solidFill>
              <a:latin typeface="Arial" pitchFamily="34" charset="0"/>
              <a:cs typeface="Arial" pitchFamily="34" charset="0"/>
            </a:rPr>
            <a:t>Click here to go to User Guide </a:t>
          </a:r>
        </a:p>
        <a:p>
          <a:endParaRPr lang="en-CA" sz="1200" b="1" u="sng" baseline="0">
            <a:solidFill>
              <a:srgbClr val="0000FF"/>
            </a:solidFill>
            <a:latin typeface="Arial" pitchFamily="34" charset="0"/>
            <a:cs typeface="Arial" pitchFamily="34" charset="0"/>
          </a:endParaRPr>
        </a:p>
      </xdr:txBody>
    </xdr:sp>
    <xdr:clientData/>
  </xdr:twoCellAnchor>
  <xdr:twoCellAnchor editAs="oneCell">
    <xdr:from>
      <xdr:col>1</xdr:col>
      <xdr:colOff>200025</xdr:colOff>
      <xdr:row>110</xdr:row>
      <xdr:rowOff>66675</xdr:rowOff>
    </xdr:from>
    <xdr:to>
      <xdr:col>3</xdr:col>
      <xdr:colOff>681617</xdr:colOff>
      <xdr:row>113</xdr:row>
      <xdr:rowOff>211931</xdr:rowOff>
    </xdr:to>
    <xdr:pic>
      <xdr:nvPicPr>
        <xdr:cNvPr id="17" name="Picture 16">
          <a:hlinkClick xmlns:r="http://schemas.openxmlformats.org/officeDocument/2006/relationships" r:id="rId9" tooltip="Click here for a list of Farm Management contacts."/>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2900" y="22212300"/>
          <a:ext cx="3729617" cy="83105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0.70619</cdr:x>
      <cdr:y>0.94919</cdr:y>
    </cdr:from>
    <cdr:to>
      <cdr:x>1</cdr:x>
      <cdr:y>1</cdr:y>
    </cdr:to>
    <cdr:sp macro="" textlink="">
      <cdr:nvSpPr>
        <cdr:cNvPr id="3" name="TextBox 1"/>
        <cdr:cNvSpPr txBox="1"/>
      </cdr:nvSpPr>
      <cdr:spPr>
        <a:xfrm xmlns:a="http://schemas.openxmlformats.org/drawingml/2006/main">
          <a:off x="3800475" y="4547640"/>
          <a:ext cx="1581150" cy="2434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3.xml><?xml version="1.0" encoding="utf-8"?>
<c:userShapes xmlns:c="http://schemas.openxmlformats.org/drawingml/2006/chart">
  <cdr:relSizeAnchor xmlns:cdr="http://schemas.openxmlformats.org/drawingml/2006/chartDrawing">
    <cdr:from>
      <cdr:x>0.72695</cdr:x>
      <cdr:y>0.94871</cdr:y>
    </cdr:from>
    <cdr:to>
      <cdr:x>0.99291</cdr:x>
      <cdr:y>1</cdr:y>
    </cdr:to>
    <cdr:sp macro="" textlink="">
      <cdr:nvSpPr>
        <cdr:cNvPr id="2" name="TextBox 1"/>
        <cdr:cNvSpPr txBox="1"/>
      </cdr:nvSpPr>
      <cdr:spPr>
        <a:xfrm xmlns:a="http://schemas.openxmlformats.org/drawingml/2006/main">
          <a:off x="3905250" y="4554377"/>
          <a:ext cx="1428762" cy="246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4.xml><?xml version="1.0" encoding="utf-8"?>
<c:userShapes xmlns:c="http://schemas.openxmlformats.org/drawingml/2006/chart">
  <cdr:relSizeAnchor xmlns:cdr="http://schemas.openxmlformats.org/drawingml/2006/chartDrawing">
    <cdr:from>
      <cdr:x>0.71504</cdr:x>
      <cdr:y>0.94354</cdr:y>
    </cdr:from>
    <cdr:to>
      <cdr:x>0.99588</cdr:x>
      <cdr:y>0.99664</cdr:y>
    </cdr:to>
    <cdr:sp macro="" textlink="">
      <cdr:nvSpPr>
        <cdr:cNvPr id="3" name="TextBox 1"/>
        <cdr:cNvSpPr txBox="1"/>
      </cdr:nvSpPr>
      <cdr:spPr>
        <a:xfrm xmlns:a="http://schemas.openxmlformats.org/drawingml/2006/main">
          <a:off x="3848099" y="4511584"/>
          <a:ext cx="1511353" cy="253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a:t>
          </a:r>
        </a:p>
      </cdr:txBody>
    </cdr:sp>
  </cdr:relSizeAnchor>
</c:userShapes>
</file>

<file path=xl/drawings/drawing5.xml><?xml version="1.0" encoding="utf-8"?>
<c:userShapes xmlns:c="http://schemas.openxmlformats.org/drawingml/2006/chart">
  <cdr:relSizeAnchor xmlns:cdr="http://schemas.openxmlformats.org/drawingml/2006/chartDrawing">
    <cdr:from>
      <cdr:x>0.7904</cdr:x>
      <cdr:y>0.94039</cdr:y>
    </cdr:from>
    <cdr:to>
      <cdr:x>0.99928</cdr:x>
      <cdr:y>0.99045</cdr:y>
    </cdr:to>
    <cdr:sp macro="" textlink="">
      <cdr:nvSpPr>
        <cdr:cNvPr id="2" name="TextBox 1"/>
        <cdr:cNvSpPr txBox="1"/>
      </cdr:nvSpPr>
      <cdr:spPr>
        <a:xfrm xmlns:a="http://schemas.openxmlformats.org/drawingml/2006/main">
          <a:off x="5962650" y="4523393"/>
          <a:ext cx="1575718" cy="2407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6.xml><?xml version="1.0" encoding="utf-8"?>
<c:userShapes xmlns:c="http://schemas.openxmlformats.org/drawingml/2006/chart">
  <cdr:relSizeAnchor xmlns:cdr="http://schemas.openxmlformats.org/drawingml/2006/chartDrawing">
    <cdr:from>
      <cdr:x>0.79193</cdr:x>
      <cdr:y>0.94059</cdr:y>
    </cdr:from>
    <cdr:to>
      <cdr:x>0.99442</cdr:x>
      <cdr:y>1</cdr:y>
    </cdr:to>
    <cdr:sp macro="" textlink="">
      <cdr:nvSpPr>
        <cdr:cNvPr id="3" name="TextBox 1"/>
        <cdr:cNvSpPr txBox="1"/>
      </cdr:nvSpPr>
      <cdr:spPr>
        <a:xfrm xmlns:a="http://schemas.openxmlformats.org/drawingml/2006/main">
          <a:off x="5981700" y="4524375"/>
          <a:ext cx="1529477"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1100"/>
            <a:t>Manitoba Agriculture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68580</xdr:colOff>
      <xdr:row>0</xdr:row>
      <xdr:rowOff>20955</xdr:rowOff>
    </xdr:from>
    <xdr:to>
      <xdr:col>3</xdr:col>
      <xdr:colOff>394388</xdr:colOff>
      <xdr:row>1</xdr:row>
      <xdr:rowOff>173355</xdr:rowOff>
    </xdr:to>
    <xdr:sp macro="" textlink="">
      <xdr:nvSpPr>
        <xdr:cNvPr id="2" name="TextBox 1">
          <a:hlinkClick xmlns:r="http://schemas.openxmlformats.org/officeDocument/2006/relationships" r:id="rId1" tooltip="Click here to go back to the WLPIP worksheet."/>
          <a:extLst>
            <a:ext uri="{FF2B5EF4-FFF2-40B4-BE49-F238E27FC236}">
              <a16:creationId xmlns:a16="http://schemas.microsoft.com/office/drawing/2014/main" id="{00000000-0008-0000-0100-000002000000}"/>
            </a:ext>
          </a:extLst>
        </xdr:cNvPr>
        <xdr:cNvSpPr txBox="1"/>
      </xdr:nvSpPr>
      <xdr:spPr>
        <a:xfrm>
          <a:off x="66675" y="28575"/>
          <a:ext cx="1724025" cy="314325"/>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Arial" panose="020B0604020202020204" pitchFamily="34" charset="0"/>
            </a:rPr>
            <a:t>Back to LPI page</a:t>
          </a:r>
          <a:r>
            <a:rPr lang="en-CA" sz="1200" b="1">
              <a:solidFill>
                <a:srgbClr val="0000FF"/>
              </a:solidFill>
              <a:effectLst/>
              <a:latin typeface="Arial" panose="020B0604020202020204" pitchFamily="34" charset="0"/>
              <a:ea typeface="+mn-ea"/>
              <a:cs typeface="Arial" panose="020B0604020202020204" pitchFamily="34" charset="0"/>
            </a:rPr>
            <a:t> </a:t>
          </a:r>
          <a:endParaRPr lang="en-US" sz="1200">
            <a:solidFill>
              <a:srgbClr val="0000FF"/>
            </a:solidFill>
            <a:effectLst/>
            <a:latin typeface="Arial" panose="020B0604020202020204" pitchFamily="34" charset="0"/>
            <a:cs typeface="Arial" panose="020B0604020202020204" pitchFamily="34" charset="0"/>
          </a:endParaRPr>
        </a:p>
        <a:p>
          <a:endParaRPr lang="en-CA" sz="1200" b="1">
            <a:latin typeface="Arial" pitchFamily="34" charset="0"/>
            <a:cs typeface="Arial" pitchFamily="34" charset="0"/>
          </a:endParaRPr>
        </a:p>
      </xdr:txBody>
    </xdr:sp>
    <xdr:clientData/>
  </xdr:twoCellAnchor>
  <xdr:twoCellAnchor editAs="oneCell">
    <xdr:from>
      <xdr:col>2</xdr:col>
      <xdr:colOff>0</xdr:colOff>
      <xdr:row>12</xdr:row>
      <xdr:rowOff>0</xdr:rowOff>
    </xdr:from>
    <xdr:to>
      <xdr:col>11</xdr:col>
      <xdr:colOff>720865</xdr:colOff>
      <xdr:row>33</xdr:row>
      <xdr:rowOff>148590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820" y="2339340"/>
          <a:ext cx="8942845" cy="4309110"/>
        </a:xfrm>
        <a:prstGeom prst="rect">
          <a:avLst/>
        </a:prstGeom>
      </xdr:spPr>
    </xdr:pic>
    <xdr:clientData/>
  </xdr:twoCellAnchor>
  <xdr:twoCellAnchor editAs="oneCell">
    <xdr:from>
      <xdr:col>1</xdr:col>
      <xdr:colOff>228601</xdr:colOff>
      <xdr:row>12</xdr:row>
      <xdr:rowOff>15</xdr:rowOff>
    </xdr:from>
    <xdr:to>
      <xdr:col>12</xdr:col>
      <xdr:colOff>53340</xdr:colOff>
      <xdr:row>33</xdr:row>
      <xdr:rowOff>159495</xdr:rowOff>
    </xdr:to>
    <xdr:pic>
      <xdr:nvPicPr>
        <xdr:cNvPr id="5" name="Picture 4">
          <a:extLst>
            <a:ext uri="{FF2B5EF4-FFF2-40B4-BE49-F238E27FC236}">
              <a16:creationId xmlns:a16="http://schemas.microsoft.com/office/drawing/2014/main" id="{444BAF0B-978C-CB68-7670-F351A4841DB6}"/>
            </a:ext>
          </a:extLst>
        </xdr:cNvPr>
        <xdr:cNvPicPr>
          <a:picLocks noChangeAspect="1"/>
        </xdr:cNvPicPr>
      </xdr:nvPicPr>
      <xdr:blipFill>
        <a:blip xmlns:r="http://schemas.openxmlformats.org/officeDocument/2006/relationships" r:embed="rId3"/>
        <a:stretch>
          <a:fillRect/>
        </a:stretch>
      </xdr:blipFill>
      <xdr:spPr>
        <a:xfrm>
          <a:off x="464821" y="2339355"/>
          <a:ext cx="9006839" cy="432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2167890</xdr:colOff>
      <xdr:row>4</xdr:row>
      <xdr:rowOff>0</xdr:rowOff>
    </xdr:from>
    <xdr:to>
      <xdr:col>7</xdr:col>
      <xdr:colOff>542925</xdr:colOff>
      <xdr:row>5</xdr:row>
      <xdr:rowOff>66675</xdr:rowOff>
    </xdr:to>
    <xdr:sp macro="" textlink="">
      <xdr:nvSpPr>
        <xdr:cNvPr id="2" name="TextBox 1">
          <a:hlinkClick xmlns:r="http://schemas.openxmlformats.org/officeDocument/2006/relationships" r:id="rId1" tooltip="Click here for Guidelines for Estimating Beef Cow-Calf Production Costs"/>
          <a:extLst>
            <a:ext uri="{FF2B5EF4-FFF2-40B4-BE49-F238E27FC236}">
              <a16:creationId xmlns:a16="http://schemas.microsoft.com/office/drawing/2014/main" id="{00000000-0008-0000-0200-000002000000}"/>
            </a:ext>
          </a:extLst>
        </xdr:cNvPr>
        <xdr:cNvSpPr txBox="1"/>
      </xdr:nvSpPr>
      <xdr:spPr>
        <a:xfrm>
          <a:off x="2396490" y="800100"/>
          <a:ext cx="5033010" cy="2667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Guidelines for Estimating Beef Cow-Calf Production Costs</a:t>
          </a:r>
          <a:r>
            <a:rPr lang="en-CA" sz="1000" b="1" i="0" u="none" baseline="0">
              <a:solidFill>
                <a:sysClr val="windowText" lastClr="000000"/>
              </a:solidFill>
              <a:uFill>
                <a:solidFill>
                  <a:srgbClr val="0000FF"/>
                </a:solidFill>
              </a:uFill>
              <a:latin typeface="Arial" pitchFamily="34" charset="0"/>
              <a:cs typeface="Arial" pitchFamily="34" charset="0"/>
            </a:rPr>
            <a:t> </a:t>
          </a:r>
          <a:endParaRPr lang="en-CA" sz="1000" b="1" u="none" baseline="0">
            <a:solidFill>
              <a:sysClr val="windowText" lastClr="000000"/>
            </a:solidFill>
            <a:latin typeface="Arial" pitchFamily="34" charset="0"/>
            <a:cs typeface="Arial" pitchFamily="34" charset="0"/>
          </a:endParaRPr>
        </a:p>
      </xdr:txBody>
    </xdr:sp>
    <xdr:clientData/>
  </xdr:twoCellAnchor>
  <xdr:twoCellAnchor>
    <xdr:from>
      <xdr:col>0</xdr:col>
      <xdr:colOff>125729</xdr:colOff>
      <xdr:row>0</xdr:row>
      <xdr:rowOff>28575</xdr:rowOff>
    </xdr:from>
    <xdr:to>
      <xdr:col>1</xdr:col>
      <xdr:colOff>1685924</xdr:colOff>
      <xdr:row>1</xdr:row>
      <xdr:rowOff>144872</xdr:rowOff>
    </xdr:to>
    <xdr:sp macro="" textlink="">
      <xdr:nvSpPr>
        <xdr:cNvPr id="3" name="TextBox 2">
          <a:hlinkClick xmlns:r="http://schemas.openxmlformats.org/officeDocument/2006/relationships" r:id="rId2" tooltip="Click here to go back to the WLPIP worksheet."/>
          <a:extLst>
            <a:ext uri="{FF2B5EF4-FFF2-40B4-BE49-F238E27FC236}">
              <a16:creationId xmlns:a16="http://schemas.microsoft.com/office/drawing/2014/main" id="{00000000-0008-0000-0200-000003000000}"/>
            </a:ext>
          </a:extLst>
        </xdr:cNvPr>
        <xdr:cNvSpPr txBox="1"/>
      </xdr:nvSpPr>
      <xdr:spPr>
        <a:xfrm>
          <a:off x="125729" y="28575"/>
          <a:ext cx="1788795" cy="306797"/>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Arial" panose="020B0604020202020204" pitchFamily="34" charset="0"/>
            </a:rPr>
            <a:t>Back to LPI page</a:t>
          </a:r>
          <a:r>
            <a:rPr lang="en-CA" sz="1200" b="1">
              <a:solidFill>
                <a:srgbClr val="0000FF"/>
              </a:solidFill>
              <a:effectLst/>
              <a:latin typeface="Arial" panose="020B0604020202020204" pitchFamily="34" charset="0"/>
              <a:ea typeface="+mn-ea"/>
              <a:cs typeface="Arial" panose="020B0604020202020204" pitchFamily="34" charset="0"/>
            </a:rPr>
            <a:t> </a:t>
          </a:r>
          <a:endParaRPr lang="en-US" sz="1200">
            <a:solidFill>
              <a:srgbClr val="0000FF"/>
            </a:solidFill>
            <a:effectLst/>
            <a:latin typeface="Arial" panose="020B0604020202020204" pitchFamily="34" charset="0"/>
            <a:cs typeface="Arial" panose="020B0604020202020204" pitchFamily="34" charset="0"/>
          </a:endParaRPr>
        </a:p>
        <a:p>
          <a:endParaRPr lang="en-CA" sz="1200" b="1">
            <a:latin typeface="Arial" pitchFamily="34" charset="0"/>
            <a:cs typeface="Arial" pitchFamily="34" charset="0"/>
          </a:endParaRPr>
        </a:p>
      </xdr:txBody>
    </xdr:sp>
    <xdr:clientData/>
  </xdr:twoCellAnchor>
  <xdr:twoCellAnchor>
    <xdr:from>
      <xdr:col>1</xdr:col>
      <xdr:colOff>2724149</xdr:colOff>
      <xdr:row>0</xdr:row>
      <xdr:rowOff>57150</xdr:rowOff>
    </xdr:from>
    <xdr:to>
      <xdr:col>4</xdr:col>
      <xdr:colOff>190499</xdr:colOff>
      <xdr:row>1</xdr:row>
      <xdr:rowOff>123825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200-000004000000}"/>
            </a:ext>
          </a:extLst>
        </xdr:cNvPr>
        <xdr:cNvSpPr txBox="1"/>
      </xdr:nvSpPr>
      <xdr:spPr>
        <a:xfrm>
          <a:off x="2952749" y="57150"/>
          <a:ext cx="1838325" cy="257175"/>
        </a:xfrm>
        <a:prstGeom prst="rect">
          <a:avLst/>
        </a:prstGeom>
        <a:solidFill>
          <a:schemeClr val="lt1"/>
        </a:solidFill>
        <a:ln w="12700" cmpd="sng">
          <a:solidFill>
            <a:schemeClr val="lt1">
              <a:shade val="50000"/>
            </a:schemeClr>
          </a:solidFill>
        </a:ln>
        <a:effectLst>
          <a:outerShdw blurRad="50800" dist="50800" dir="5400000" algn="ctr" rotWithShape="0">
            <a:schemeClr val="bg1">
              <a:lumMod val="65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u="sng" baseline="0">
              <a:solidFill>
                <a:srgbClr val="0000FF"/>
              </a:solidFill>
              <a:latin typeface="Arial" pitchFamily="34" charset="0"/>
              <a:cs typeface="Arial" pitchFamily="34" charset="0"/>
            </a:rPr>
            <a:t>Back to User Guide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85725</xdr:rowOff>
    </xdr:from>
    <xdr:to>
      <xdr:col>4</xdr:col>
      <xdr:colOff>47625</xdr:colOff>
      <xdr:row>40</xdr:row>
      <xdr:rowOff>95250</xdr:rowOff>
    </xdr:to>
    <xdr:graphicFrame macro="">
      <xdr:nvGraphicFramePr>
        <xdr:cNvPr id="3606" name="Chart 4">
          <a:extLst>
            <a:ext uri="{FF2B5EF4-FFF2-40B4-BE49-F238E27FC236}">
              <a16:creationId xmlns:a16="http://schemas.microsoft.com/office/drawing/2014/main" id="{00000000-0008-0000-0300-000016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6</xdr:row>
      <xdr:rowOff>161925</xdr:rowOff>
    </xdr:from>
    <xdr:to>
      <xdr:col>32</xdr:col>
      <xdr:colOff>666750</xdr:colOff>
      <xdr:row>41</xdr:row>
      <xdr:rowOff>0</xdr:rowOff>
    </xdr:to>
    <xdr:graphicFrame macro="">
      <xdr:nvGraphicFramePr>
        <xdr:cNvPr id="3607" name="Chart 8">
          <a:extLst>
            <a:ext uri="{FF2B5EF4-FFF2-40B4-BE49-F238E27FC236}">
              <a16:creationId xmlns:a16="http://schemas.microsoft.com/office/drawing/2014/main" id="{00000000-0008-0000-0300-000017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714375</xdr:colOff>
      <xdr:row>0</xdr:row>
      <xdr:rowOff>114300</xdr:rowOff>
    </xdr:from>
    <xdr:to>
      <xdr:col>21</xdr:col>
      <xdr:colOff>533400</xdr:colOff>
      <xdr:row>1</xdr:row>
      <xdr:rowOff>190500</xdr:rowOff>
    </xdr:to>
    <xdr:pic>
      <xdr:nvPicPr>
        <xdr:cNvPr id="229292" name="Picture 6" descr="GovMB_Logo_black-1374 10percent.jpg">
          <a:extLst>
            <a:ext uri="{FF2B5EF4-FFF2-40B4-BE49-F238E27FC236}">
              <a16:creationId xmlns:a16="http://schemas.microsoft.com/office/drawing/2014/main" id="{00000000-0008-0000-0400-0000AC7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2400" y="114300"/>
          <a:ext cx="20764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11431</xdr:colOff>
      <xdr:row>61</xdr:row>
      <xdr:rowOff>90380</xdr:rowOff>
    </xdr:from>
    <xdr:to>
      <xdr:col>10</xdr:col>
      <xdr:colOff>415391</xdr:colOff>
      <xdr:row>62</xdr:row>
      <xdr:rowOff>163476</xdr:rowOff>
    </xdr:to>
    <xdr:sp macro="" textlink="">
      <xdr:nvSpPr>
        <xdr:cNvPr id="3" name="TextBox 2">
          <a:hlinkClick xmlns:r="http://schemas.openxmlformats.org/officeDocument/2006/relationships" r:id="rId2" tooltip="Click here for list of Manitoba Agriculture office locations"/>
          <a:extLst>
            <a:ext uri="{FF2B5EF4-FFF2-40B4-BE49-F238E27FC236}">
              <a16:creationId xmlns:a16="http://schemas.microsoft.com/office/drawing/2014/main" id="{00000000-0008-0000-0400-000003000000}"/>
            </a:ext>
          </a:extLst>
        </xdr:cNvPr>
        <xdr:cNvSpPr txBox="1"/>
      </xdr:nvSpPr>
      <xdr:spPr>
        <a:xfrm>
          <a:off x="6429376" y="11333690"/>
          <a:ext cx="2638425" cy="28442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200" b="1" i="0" u="sng" baseline="0">
              <a:solidFill>
                <a:srgbClr val="0000FF"/>
              </a:solidFill>
              <a:uFill>
                <a:solidFill>
                  <a:srgbClr val="0000FF"/>
                </a:solidFill>
              </a:uFill>
              <a:latin typeface="Arial" pitchFamily="34" charset="0"/>
              <a:cs typeface="Arial" pitchFamily="34" charset="0"/>
            </a:rPr>
            <a:t>Manitoba Agriculture</a:t>
          </a:r>
          <a:r>
            <a:rPr lang="en-CA" sz="1000" b="1" i="0" u="sng" baseline="0">
              <a:solidFill>
                <a:srgbClr val="0000FF"/>
              </a:solidFill>
              <a:uFill>
                <a:solidFill>
                  <a:srgbClr val="0000FF"/>
                </a:solidFill>
              </a:uFill>
              <a:latin typeface="Arial" pitchFamily="34" charset="0"/>
              <a:cs typeface="Arial" pitchFamily="34" charset="0"/>
            </a:rPr>
            <a:t> </a:t>
          </a:r>
          <a:r>
            <a:rPr lang="en-CA" sz="1200" b="1" i="0" u="sng" baseline="0">
              <a:solidFill>
                <a:srgbClr val="0000FF"/>
              </a:solidFill>
              <a:uFill>
                <a:solidFill>
                  <a:srgbClr val="0000FF"/>
                </a:solidFill>
              </a:uFill>
              <a:latin typeface="Arial" pitchFamily="34" charset="0"/>
              <a:cs typeface="Arial" pitchFamily="34" charset="0"/>
            </a:rPr>
            <a:t>office</a:t>
          </a:r>
          <a:endParaRPr lang="en-CA" sz="1200" b="1" baseline="0">
            <a:latin typeface="Arial" pitchFamily="34" charset="0"/>
            <a:cs typeface="Arial" pitchFamily="34" charset="0"/>
          </a:endParaRPr>
        </a:p>
      </xdr:txBody>
    </xdr:sp>
    <xdr:clientData/>
  </xdr:twoCellAnchor>
  <xdr:twoCellAnchor>
    <xdr:from>
      <xdr:col>4</xdr:col>
      <xdr:colOff>296441</xdr:colOff>
      <xdr:row>62</xdr:row>
      <xdr:rowOff>73081</xdr:rowOff>
    </xdr:from>
    <xdr:to>
      <xdr:col>5</xdr:col>
      <xdr:colOff>384774</xdr:colOff>
      <xdr:row>63</xdr:row>
      <xdr:rowOff>92739</xdr:rowOff>
    </xdr:to>
    <xdr:sp macro="" textlink="">
      <xdr:nvSpPr>
        <xdr:cNvPr id="4" name="TextBox 3">
          <a:hlinkClick xmlns:r="http://schemas.openxmlformats.org/officeDocument/2006/relationships" r:id="rId3" tooltip="Mail to:  mbfarmbusiness@gov.mb.ca - click once to follow."/>
          <a:extLst>
            <a:ext uri="{FF2B5EF4-FFF2-40B4-BE49-F238E27FC236}">
              <a16:creationId xmlns:a16="http://schemas.microsoft.com/office/drawing/2014/main" id="{00000000-0008-0000-0400-000004000000}"/>
            </a:ext>
          </a:extLst>
        </xdr:cNvPr>
        <xdr:cNvSpPr txBox="1"/>
      </xdr:nvSpPr>
      <xdr:spPr>
        <a:xfrm>
          <a:off x="4436006" y="11529751"/>
          <a:ext cx="859894" cy="247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i="0" u="sng" strike="noStrike" baseline="0">
              <a:solidFill>
                <a:schemeClr val="dk1"/>
              </a:solidFill>
              <a:latin typeface="Arial" pitchFamily="34" charset="0"/>
              <a:ea typeface="+mn-ea"/>
              <a:cs typeface="Arial" pitchFamily="34" charset="0"/>
              <a:hlinkClick xmlns:r="http://schemas.openxmlformats.org/officeDocument/2006/relationships" r:id=""/>
            </a:rPr>
            <a:t>email</a:t>
          </a:r>
          <a:r>
            <a:rPr lang="en-CA" sz="1200" b="1" i="0" u="sng" strike="noStrike">
              <a:solidFill>
                <a:schemeClr val="dk1"/>
              </a:solidFill>
              <a:latin typeface="Arial" pitchFamily="34" charset="0"/>
              <a:ea typeface="+mn-ea"/>
              <a:cs typeface="Arial" pitchFamily="34" charset="0"/>
              <a:hlinkClick xmlns:r="http://schemas.openxmlformats.org/officeDocument/2006/relationships" r:id=""/>
            </a:rPr>
            <a:t> us</a:t>
          </a:r>
          <a:r>
            <a:rPr lang="en-CA" sz="1200">
              <a:latin typeface="Arial" pitchFamily="34" charset="0"/>
              <a:cs typeface="Arial" pitchFamily="34" charset="0"/>
            </a:rPr>
            <a:t> </a:t>
          </a:r>
        </a:p>
      </xdr:txBody>
    </xdr:sp>
    <xdr:clientData/>
  </xdr:twoCellAnchor>
  <xdr:twoCellAnchor>
    <xdr:from>
      <xdr:col>6</xdr:col>
      <xdr:colOff>158434</xdr:colOff>
      <xdr:row>62</xdr:row>
      <xdr:rowOff>80222</xdr:rowOff>
    </xdr:from>
    <xdr:to>
      <xdr:col>9</xdr:col>
      <xdr:colOff>190051</xdr:colOff>
      <xdr:row>63</xdr:row>
      <xdr:rowOff>103926</xdr:rowOff>
    </xdr:to>
    <xdr:sp macro="" textlink="">
      <xdr:nvSpPr>
        <xdr:cNvPr id="5" name="TextBox 4">
          <a:hlinkClick xmlns:r="http://schemas.openxmlformats.org/officeDocument/2006/relationships" r:id="rId4" tooltip="Click here for list of Manitoba Agriculture Farm Managment Specialists"/>
          <a:extLst>
            <a:ext uri="{FF2B5EF4-FFF2-40B4-BE49-F238E27FC236}">
              <a16:creationId xmlns:a16="http://schemas.microsoft.com/office/drawing/2014/main" id="{00000000-0008-0000-0400-000005000000}"/>
            </a:ext>
          </a:extLst>
        </xdr:cNvPr>
        <xdr:cNvSpPr txBox="1"/>
      </xdr:nvSpPr>
      <xdr:spPr>
        <a:xfrm>
          <a:off x="5818189" y="11527367"/>
          <a:ext cx="2275682" cy="26352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200" b="1" i="0" u="sng" baseline="0">
              <a:solidFill>
                <a:srgbClr val="0000FF"/>
              </a:solidFill>
              <a:uFill>
                <a:solidFill>
                  <a:srgbClr val="0000FF"/>
                </a:solidFill>
              </a:uFill>
              <a:latin typeface="Arial" pitchFamily="34" charset="0"/>
              <a:cs typeface="Arial" pitchFamily="34" charset="0"/>
            </a:rPr>
            <a:t>farm management</a:t>
          </a:r>
          <a:r>
            <a:rPr lang="en-CA" sz="1000" b="1" i="0" u="sng" baseline="0">
              <a:solidFill>
                <a:srgbClr val="0000FF"/>
              </a:solidFill>
              <a:uFill>
                <a:solidFill>
                  <a:srgbClr val="0000FF"/>
                </a:solidFill>
              </a:uFill>
              <a:latin typeface="Arial" pitchFamily="34" charset="0"/>
              <a:cs typeface="Arial" pitchFamily="34" charset="0"/>
            </a:rPr>
            <a:t> </a:t>
          </a:r>
          <a:r>
            <a:rPr lang="en-CA" sz="1200" b="1" i="0" u="sng" baseline="0">
              <a:solidFill>
                <a:srgbClr val="0000FF"/>
              </a:solidFill>
              <a:uFill>
                <a:solidFill>
                  <a:srgbClr val="0000FF"/>
                </a:solidFill>
              </a:uFill>
              <a:latin typeface="Arial" pitchFamily="34" charset="0"/>
              <a:cs typeface="Arial" pitchFamily="34" charset="0"/>
            </a:rPr>
            <a:t>specialist</a:t>
          </a:r>
          <a:r>
            <a:rPr lang="en-CA" sz="1000" b="1" i="0" u="sng" baseline="0">
              <a:solidFill>
                <a:srgbClr val="0000FF"/>
              </a:solidFill>
              <a:uFill>
                <a:solidFill>
                  <a:srgbClr val="0000FF"/>
                </a:solidFill>
              </a:uFill>
              <a:latin typeface="Arial" pitchFamily="34" charset="0"/>
              <a:cs typeface="Arial" pitchFamily="34" charset="0"/>
            </a:rPr>
            <a:t> </a:t>
          </a:r>
          <a:endParaRPr lang="en-CA" sz="1000" b="1">
            <a:latin typeface="Arial" pitchFamily="34" charset="0"/>
            <a:cs typeface="Arial" pitchFamily="34" charset="0"/>
          </a:endParaRPr>
        </a:p>
      </xdr:txBody>
    </xdr:sp>
    <xdr:clientData/>
  </xdr:twoCellAnchor>
  <xdr:twoCellAnchor>
    <xdr:from>
      <xdr:col>1</xdr:col>
      <xdr:colOff>2027978</xdr:colOff>
      <xdr:row>65</xdr:row>
      <xdr:rowOff>3335</xdr:rowOff>
    </xdr:from>
    <xdr:to>
      <xdr:col>6</xdr:col>
      <xdr:colOff>393963</xdr:colOff>
      <xdr:row>66</xdr:row>
      <xdr:rowOff>208694</xdr:rowOff>
    </xdr:to>
    <xdr:sp macro="" textlink="">
      <xdr:nvSpPr>
        <xdr:cNvPr id="6" name="TextBox 5">
          <a:hlinkClick xmlns:r="http://schemas.openxmlformats.org/officeDocument/2006/relationships" r:id="rId4" tooltip="Click here for list of Manitoba Agriculture Farm Management Contacts"/>
          <a:extLst>
            <a:ext uri="{FF2B5EF4-FFF2-40B4-BE49-F238E27FC236}">
              <a16:creationId xmlns:a16="http://schemas.microsoft.com/office/drawing/2014/main" id="{00000000-0008-0000-0400-000006000000}"/>
            </a:ext>
          </a:extLst>
        </xdr:cNvPr>
        <xdr:cNvSpPr txBox="1"/>
      </xdr:nvSpPr>
      <xdr:spPr>
        <a:xfrm>
          <a:off x="2153708" y="12018170"/>
          <a:ext cx="3898109" cy="42624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100" b="1" i="0" u="sng" baseline="0">
              <a:solidFill>
                <a:srgbClr val="0000FF"/>
              </a:solidFill>
              <a:uFill>
                <a:solidFill>
                  <a:srgbClr val="0000FF"/>
                </a:solidFill>
              </a:uFill>
              <a:latin typeface="Arial" pitchFamily="34" charset="0"/>
              <a:cs typeface="Arial" pitchFamily="34" charset="0"/>
            </a:rPr>
            <a:t>Manitoba Agriculture Farm Management</a:t>
          </a:r>
          <a:endParaRPr lang="en-CA" sz="1100" b="1">
            <a:latin typeface="Arial" pitchFamily="34" charset="0"/>
            <a:cs typeface="Arial" pitchFamily="34" charset="0"/>
          </a:endParaRPr>
        </a:p>
      </xdr:txBody>
    </xdr:sp>
    <xdr:clientData/>
  </xdr:twoCellAnchor>
  <xdr:twoCellAnchor>
    <xdr:from>
      <xdr:col>2</xdr:col>
      <xdr:colOff>292206</xdr:colOff>
      <xdr:row>65</xdr:row>
      <xdr:rowOff>221456</xdr:rowOff>
    </xdr:from>
    <xdr:to>
      <xdr:col>6</xdr:col>
      <xdr:colOff>351134</xdr:colOff>
      <xdr:row>67</xdr:row>
      <xdr:rowOff>1578</xdr:rowOff>
    </xdr:to>
    <xdr:sp macro="" textlink="">
      <xdr:nvSpPr>
        <xdr:cNvPr id="7" name="TextBox 6">
          <a:hlinkClick xmlns:r="http://schemas.openxmlformats.org/officeDocument/2006/relationships" r:id="rId2" tooltip="Click here for list of Manitoba Agriculture office locations"/>
          <a:extLst>
            <a:ext uri="{FF2B5EF4-FFF2-40B4-BE49-F238E27FC236}">
              <a16:creationId xmlns:a16="http://schemas.microsoft.com/office/drawing/2014/main" id="{00000000-0008-0000-0400-000007000000}"/>
            </a:ext>
          </a:extLst>
        </xdr:cNvPr>
        <xdr:cNvSpPr txBox="1"/>
      </xdr:nvSpPr>
      <xdr:spPr>
        <a:xfrm>
          <a:off x="2926821" y="12232481"/>
          <a:ext cx="3082132" cy="23574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CA" sz="1100" b="1" i="0" u="sng" baseline="0">
              <a:solidFill>
                <a:srgbClr val="0000FF"/>
              </a:solidFill>
              <a:uFill>
                <a:solidFill>
                  <a:srgbClr val="0000FF"/>
                </a:solidFill>
              </a:uFill>
              <a:latin typeface="Arial" pitchFamily="34" charset="0"/>
              <a:cs typeface="Arial" pitchFamily="34" charset="0"/>
            </a:rPr>
            <a:t>Manitoba Agriculture office </a:t>
          </a:r>
          <a:r>
            <a:rPr lang="en-CA" sz="1100" b="1">
              <a:latin typeface="Arial" pitchFamily="34" charset="0"/>
              <a:cs typeface="Arial" pitchFamily="34" charset="0"/>
            </a:rPr>
            <a:t>or:</a:t>
          </a:r>
        </a:p>
      </xdr:txBody>
    </xdr:sp>
    <xdr:clientData/>
  </xdr:twoCellAnchor>
  <xdr:twoCellAnchor>
    <xdr:from>
      <xdr:col>0</xdr:col>
      <xdr:colOff>76201</xdr:colOff>
      <xdr:row>7</xdr:row>
      <xdr:rowOff>57151</xdr:rowOff>
    </xdr:from>
    <xdr:to>
      <xdr:col>4</xdr:col>
      <xdr:colOff>38100</xdr:colOff>
      <xdr:row>8</xdr:row>
      <xdr:rowOff>152401</xdr:rowOff>
    </xdr:to>
    <xdr:sp macro="" textlink="">
      <xdr:nvSpPr>
        <xdr:cNvPr id="8" name="TextBox 7">
          <a:hlinkClick xmlns:r="http://schemas.openxmlformats.org/officeDocument/2006/relationships" r:id="rId5" tooltip="Click here to go to the cow calf cost worksheet."/>
          <a:extLst>
            <a:ext uri="{FF2B5EF4-FFF2-40B4-BE49-F238E27FC236}">
              <a16:creationId xmlns:a16="http://schemas.microsoft.com/office/drawing/2014/main" id="{00000000-0008-0000-0400-000008000000}"/>
            </a:ext>
          </a:extLst>
        </xdr:cNvPr>
        <xdr:cNvSpPr txBox="1"/>
      </xdr:nvSpPr>
      <xdr:spPr>
        <a:xfrm>
          <a:off x="76201" y="1762126"/>
          <a:ext cx="4105274" cy="323850"/>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200" b="1" i="0" u="sng">
              <a:solidFill>
                <a:srgbClr val="0000FF"/>
              </a:solidFill>
              <a:effectLst/>
              <a:latin typeface="Arial" panose="020B0604020202020204" pitchFamily="34" charset="0"/>
              <a:ea typeface="+mn-ea"/>
              <a:cs typeface="+mn-cs"/>
            </a:rPr>
            <a:t>Click here to enter</a:t>
          </a:r>
          <a:r>
            <a:rPr lang="en-CA" sz="1200" b="1" i="0" u="sng" baseline="0">
              <a:solidFill>
                <a:srgbClr val="0000FF"/>
              </a:solidFill>
              <a:effectLst/>
              <a:latin typeface="Arial" panose="020B0604020202020204" pitchFamily="34" charset="0"/>
              <a:ea typeface="+mn-ea"/>
              <a:cs typeface="+mn-cs"/>
            </a:rPr>
            <a:t> your c</a:t>
          </a:r>
          <a:r>
            <a:rPr lang="en-CA" sz="1200" b="1" i="0" u="sng">
              <a:solidFill>
                <a:srgbClr val="0000FF"/>
              </a:solidFill>
              <a:effectLst/>
              <a:latin typeface="Arial" panose="020B0604020202020204" pitchFamily="34" charset="0"/>
              <a:ea typeface="+mn-ea"/>
              <a:cs typeface="+mn-cs"/>
            </a:rPr>
            <a:t>ow-calf production costs</a:t>
          </a:r>
          <a:endParaRPr lang="en-US" sz="1200" b="1">
            <a:solidFill>
              <a:srgbClr val="0000FF"/>
            </a:solidFill>
            <a:effectLst/>
            <a:latin typeface="Arial" panose="020B0604020202020204" pitchFamily="34" charset="0"/>
          </a:endParaRPr>
        </a:p>
        <a:p>
          <a:endParaRPr lang="en-CA" sz="12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lpip.ca/cattle/wcpip-calf" TargetMode="External"/><Relationship Id="rId2" Type="http://schemas.openxmlformats.org/officeDocument/2006/relationships/hyperlink" Target="https://mywlpip.wlpip.ca/portal/server.pt/community/western_lpip" TargetMode="External"/><Relationship Id="rId1" Type="http://schemas.openxmlformats.org/officeDocument/2006/relationships/hyperlink" Target="https://mywlpip.wlpip.ca/portal/server.pt/community/western_lpip" TargetMode="External"/><Relationship Id="rId6" Type="http://schemas.openxmlformats.org/officeDocument/2006/relationships/drawing" Target="../drawings/drawing7.xml"/><Relationship Id="rId5" Type="http://schemas.openxmlformats.org/officeDocument/2006/relationships/printerSettings" Target="../printerSettings/printerSettings2.bin"/><Relationship Id="rId4" Type="http://schemas.openxmlformats.org/officeDocument/2006/relationships/hyperlink" Target="https://lpi.ca/livestock-price-insurance-cattle/lpi-cal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Benjamin.Hamm@gov.mb.ca" TargetMode="External"/><Relationship Id="rId1" Type="http://schemas.openxmlformats.org/officeDocument/2006/relationships/hyperlink" Target="mailto:roy.arnott@gov.mb.ca"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CF111"/>
  <sheetViews>
    <sheetView showGridLines="0" zoomScale="70" zoomScaleNormal="70" zoomScaleSheetLayoutView="50" workbookViewId="0">
      <selection activeCell="C9" sqref="C9"/>
    </sheetView>
  </sheetViews>
  <sheetFormatPr defaultColWidth="8" defaultRowHeight="17.399999999999999" x14ac:dyDescent="0.55000000000000004"/>
  <cols>
    <col min="1" max="1" width="1.6328125" style="3" customWidth="1"/>
    <col min="2" max="2" width="29.08984375" style="3" customWidth="1"/>
    <col min="3" max="22" width="8.81640625" style="3" customWidth="1"/>
    <col min="23" max="16384" width="8" style="2"/>
  </cols>
  <sheetData>
    <row r="1" spans="1:84" s="16" customFormat="1" ht="27" customHeight="1" x14ac:dyDescent="0.5">
      <c r="A1" s="14"/>
      <c r="B1" s="14"/>
      <c r="C1" s="15"/>
      <c r="D1" s="15"/>
      <c r="E1" s="15"/>
      <c r="F1" s="15"/>
    </row>
    <row r="2" spans="1:84" s="16" customFormat="1" ht="27" x14ac:dyDescent="0.85">
      <c r="A2" s="17" t="s">
        <v>56</v>
      </c>
      <c r="B2" s="14"/>
      <c r="C2" s="15"/>
      <c r="D2" s="15"/>
      <c r="E2" s="15"/>
      <c r="F2" s="15"/>
    </row>
    <row r="3" spans="1:84" s="16" customFormat="1" ht="20.100000000000001" x14ac:dyDescent="0.7">
      <c r="A3" s="25" t="s">
        <v>135</v>
      </c>
      <c r="B3" s="14"/>
      <c r="C3" s="15"/>
      <c r="D3" s="15"/>
      <c r="M3" s="108" t="s">
        <v>102</v>
      </c>
      <c r="N3" s="72"/>
      <c r="O3" s="72"/>
      <c r="P3" s="72"/>
      <c r="Q3" s="72"/>
      <c r="T3" s="72"/>
      <c r="U3" s="18" t="s">
        <v>7</v>
      </c>
      <c r="V3" s="19">
        <f ca="1">TODAY()</f>
        <v>45489</v>
      </c>
    </row>
    <row r="4" spans="1:84" ht="7.5" customHeight="1" x14ac:dyDescent="0.55000000000000004">
      <c r="A4" s="5"/>
      <c r="B4" s="10"/>
      <c r="C4" s="7"/>
      <c r="D4" s="10"/>
      <c r="E4" s="2"/>
      <c r="F4" s="2"/>
      <c r="BB4" s="2" t="s">
        <v>72</v>
      </c>
      <c r="BC4" s="2" t="s">
        <v>73</v>
      </c>
      <c r="BD4" s="2" t="s">
        <v>74</v>
      </c>
      <c r="BE4" s="2" t="s">
        <v>75</v>
      </c>
      <c r="BF4" s="2" t="s">
        <v>76</v>
      </c>
      <c r="BG4" s="2" t="s">
        <v>77</v>
      </c>
      <c r="BH4" s="2" t="s">
        <v>78</v>
      </c>
      <c r="BI4" s="2" t="s">
        <v>79</v>
      </c>
      <c r="BJ4" s="2" t="s">
        <v>80</v>
      </c>
      <c r="BK4" s="2" t="s">
        <v>81</v>
      </c>
      <c r="BL4" s="2" t="s">
        <v>82</v>
      </c>
      <c r="BM4" s="2" t="s">
        <v>83</v>
      </c>
    </row>
    <row r="5" spans="1:84" ht="17.7" x14ac:dyDescent="0.55000000000000004">
      <c r="A5" s="121" t="s">
        <v>129</v>
      </c>
      <c r="B5" s="121"/>
      <c r="C5" s="121"/>
      <c r="D5" s="121"/>
      <c r="E5" s="121"/>
      <c r="F5" s="121"/>
      <c r="G5" s="121"/>
      <c r="H5" s="121"/>
      <c r="I5" s="121"/>
      <c r="J5" s="121"/>
      <c r="K5" s="121"/>
      <c r="L5" s="121"/>
      <c r="M5" s="121"/>
      <c r="N5" s="121"/>
      <c r="O5" s="121"/>
      <c r="P5" s="121"/>
      <c r="Q5" s="121"/>
      <c r="R5" s="121"/>
      <c r="S5" s="121"/>
      <c r="T5" s="121"/>
      <c r="U5" s="121"/>
      <c r="V5" s="121"/>
      <c r="W5" s="1"/>
      <c r="X5" s="1"/>
      <c r="Y5" s="1"/>
      <c r="Z5" s="1"/>
      <c r="AA5" s="1"/>
      <c r="BB5" s="2">
        <v>1</v>
      </c>
      <c r="BC5" s="2">
        <v>2</v>
      </c>
      <c r="BD5" s="2">
        <v>3</v>
      </c>
      <c r="BE5" s="2">
        <v>4</v>
      </c>
      <c r="BF5" s="2">
        <v>5</v>
      </c>
      <c r="BG5" s="2">
        <v>6</v>
      </c>
      <c r="BH5" s="2">
        <v>7</v>
      </c>
      <c r="BI5" s="2">
        <v>8</v>
      </c>
      <c r="BJ5" s="2">
        <v>9</v>
      </c>
      <c r="BK5" s="2">
        <v>10</v>
      </c>
      <c r="BL5" s="2">
        <v>11</v>
      </c>
      <c r="BM5" s="2">
        <v>12</v>
      </c>
      <c r="BN5" s="2">
        <v>13</v>
      </c>
      <c r="BO5" s="2">
        <v>14</v>
      </c>
      <c r="BP5" s="2">
        <v>15</v>
      </c>
      <c r="BQ5" s="2">
        <v>16</v>
      </c>
      <c r="BR5" s="2">
        <v>17</v>
      </c>
      <c r="BS5" s="2">
        <v>18</v>
      </c>
      <c r="BT5" s="2">
        <v>19</v>
      </c>
      <c r="BU5" s="2">
        <v>20</v>
      </c>
      <c r="BV5" s="2">
        <v>21</v>
      </c>
      <c r="BW5" s="2">
        <v>22</v>
      </c>
      <c r="BX5" s="2">
        <v>23</v>
      </c>
      <c r="BY5" s="2">
        <v>24</v>
      </c>
      <c r="BZ5" s="2">
        <v>25</v>
      </c>
      <c r="CA5" s="2">
        <v>26</v>
      </c>
      <c r="CB5" s="2">
        <v>27</v>
      </c>
      <c r="CC5" s="2">
        <v>28</v>
      </c>
      <c r="CD5" s="2">
        <v>29</v>
      </c>
      <c r="CE5" s="2">
        <v>30</v>
      </c>
      <c r="CF5" s="2">
        <v>31</v>
      </c>
    </row>
    <row r="6" spans="1:84" ht="7.5" customHeight="1" thickBot="1" x14ac:dyDescent="0.6">
      <c r="A6" s="44"/>
      <c r="B6" s="44"/>
      <c r="C6" s="44"/>
      <c r="D6" s="44"/>
      <c r="E6" s="44"/>
      <c r="F6" s="44"/>
      <c r="G6" s="44"/>
      <c r="H6" s="44"/>
      <c r="I6" s="44"/>
      <c r="J6" s="44"/>
      <c r="K6" s="44"/>
      <c r="L6" s="44"/>
      <c r="M6" s="44"/>
      <c r="N6" s="44"/>
      <c r="O6" s="44"/>
      <c r="P6" s="44"/>
      <c r="Q6" s="44"/>
      <c r="R6" s="44"/>
      <c r="S6" s="44"/>
      <c r="T6" s="44"/>
      <c r="U6" s="44"/>
      <c r="V6" s="44"/>
      <c r="W6" s="1"/>
      <c r="X6" s="1"/>
      <c r="Y6" s="1"/>
      <c r="Z6" s="1"/>
      <c r="AA6" s="1"/>
    </row>
    <row r="7" spans="1:84" ht="18" customHeight="1" thickBot="1" x14ac:dyDescent="0.6">
      <c r="A7" s="44"/>
      <c r="B7" s="44"/>
      <c r="C7" s="2"/>
      <c r="D7" s="2"/>
      <c r="E7" s="10"/>
      <c r="F7" s="64" t="s">
        <v>84</v>
      </c>
      <c r="G7" s="68" t="s">
        <v>73</v>
      </c>
      <c r="H7" s="69">
        <v>8</v>
      </c>
      <c r="I7" s="44"/>
      <c r="J7" s="44"/>
      <c r="K7" s="44"/>
      <c r="L7" s="44"/>
      <c r="M7" s="44"/>
      <c r="N7" s="44"/>
      <c r="O7" s="44"/>
      <c r="P7" s="44"/>
      <c r="Q7" s="44"/>
      <c r="R7" s="44"/>
      <c r="S7" s="44"/>
      <c r="T7" s="44"/>
      <c r="U7" s="44"/>
      <c r="V7" s="44"/>
      <c r="W7" s="1"/>
      <c r="X7" s="1"/>
      <c r="Y7" s="1"/>
      <c r="Z7" s="1"/>
      <c r="AA7" s="1"/>
    </row>
    <row r="8" spans="1:84" x14ac:dyDescent="0.55000000000000004">
      <c r="A8" s="1"/>
      <c r="C8" s="122" t="s">
        <v>57</v>
      </c>
      <c r="D8" s="122"/>
      <c r="E8" s="122"/>
      <c r="F8" s="122"/>
      <c r="G8" s="122"/>
      <c r="H8" s="122"/>
      <c r="I8" s="122"/>
      <c r="J8" s="122"/>
      <c r="K8" s="122"/>
      <c r="L8" s="122"/>
      <c r="M8" s="122"/>
      <c r="N8" s="122"/>
      <c r="O8" s="122"/>
      <c r="P8" s="122"/>
      <c r="Q8" s="122"/>
      <c r="R8" s="122"/>
      <c r="S8" s="122"/>
      <c r="T8" s="122"/>
      <c r="U8" s="122"/>
      <c r="V8" s="122"/>
    </row>
    <row r="9" spans="1:84" x14ac:dyDescent="0.55000000000000004">
      <c r="A9" s="1" t="s">
        <v>66</v>
      </c>
      <c r="B9" s="2"/>
      <c r="C9" s="39">
        <v>392</v>
      </c>
      <c r="D9" s="58">
        <f>SUM(C9-2)</f>
        <v>390</v>
      </c>
      <c r="E9" s="58">
        <f t="shared" ref="E9:V9" si="0">SUM(D9-2)</f>
        <v>388</v>
      </c>
      <c r="F9" s="58">
        <f t="shared" si="0"/>
        <v>386</v>
      </c>
      <c r="G9" s="58">
        <f t="shared" si="0"/>
        <v>384</v>
      </c>
      <c r="H9" s="58">
        <f t="shared" si="0"/>
        <v>382</v>
      </c>
      <c r="I9" s="58">
        <f t="shared" si="0"/>
        <v>380</v>
      </c>
      <c r="J9" s="58">
        <f t="shared" si="0"/>
        <v>378</v>
      </c>
      <c r="K9" s="58">
        <f t="shared" si="0"/>
        <v>376</v>
      </c>
      <c r="L9" s="58">
        <f t="shared" si="0"/>
        <v>374</v>
      </c>
      <c r="M9" s="58">
        <f t="shared" si="0"/>
        <v>372</v>
      </c>
      <c r="N9" s="58">
        <f t="shared" si="0"/>
        <v>370</v>
      </c>
      <c r="O9" s="58">
        <f t="shared" si="0"/>
        <v>368</v>
      </c>
      <c r="P9" s="58">
        <f t="shared" si="0"/>
        <v>366</v>
      </c>
      <c r="Q9" s="58">
        <f t="shared" si="0"/>
        <v>364</v>
      </c>
      <c r="R9" s="58">
        <f t="shared" si="0"/>
        <v>362</v>
      </c>
      <c r="S9" s="58">
        <f t="shared" si="0"/>
        <v>360</v>
      </c>
      <c r="T9" s="58">
        <f t="shared" si="0"/>
        <v>358</v>
      </c>
      <c r="U9" s="58">
        <f t="shared" si="0"/>
        <v>356</v>
      </c>
      <c r="V9" s="58">
        <f t="shared" si="0"/>
        <v>354</v>
      </c>
    </row>
    <row r="10" spans="1:84" x14ac:dyDescent="0.55000000000000004">
      <c r="A10" s="1" t="s">
        <v>67</v>
      </c>
      <c r="B10" s="2"/>
      <c r="C10" s="9">
        <v>11.72</v>
      </c>
      <c r="D10" s="9">
        <v>10.6</v>
      </c>
      <c r="E10" s="9">
        <v>9.5399999999999991</v>
      </c>
      <c r="F10" s="9">
        <v>8.43</v>
      </c>
      <c r="G10" s="9">
        <v>7.37</v>
      </c>
      <c r="H10" s="9">
        <v>6.55</v>
      </c>
      <c r="I10" s="9">
        <v>5.59</v>
      </c>
      <c r="J10" s="9">
        <v>4.87</v>
      </c>
      <c r="K10" s="9">
        <v>4.0599999999999996</v>
      </c>
      <c r="L10" s="9">
        <v>3.37</v>
      </c>
      <c r="M10" s="9">
        <v>3.18</v>
      </c>
      <c r="N10" s="9">
        <v>2.95</v>
      </c>
      <c r="O10" s="9">
        <v>2.82</v>
      </c>
      <c r="P10" s="9">
        <v>2.69</v>
      </c>
      <c r="Q10" s="9">
        <v>2.57</v>
      </c>
      <c r="R10" s="9"/>
      <c r="S10" s="9"/>
      <c r="T10" s="9"/>
      <c r="U10" s="9"/>
      <c r="V10" s="9"/>
    </row>
    <row r="11" spans="1:84" ht="7.5" customHeight="1" x14ac:dyDescent="0.55000000000000004">
      <c r="C11" s="9"/>
      <c r="D11" s="9"/>
      <c r="E11" s="9"/>
      <c r="F11" s="9"/>
      <c r="G11" s="9"/>
      <c r="H11" s="9"/>
      <c r="I11" s="9"/>
      <c r="J11" s="9"/>
      <c r="K11" s="9"/>
      <c r="L11" s="9"/>
      <c r="M11" s="9"/>
      <c r="N11" s="9"/>
      <c r="O11" s="9"/>
      <c r="P11" s="9"/>
      <c r="Q11" s="9"/>
      <c r="R11" s="9"/>
      <c r="S11" s="9"/>
      <c r="T11" s="9"/>
      <c r="U11" s="9"/>
      <c r="V11" s="9"/>
    </row>
    <row r="12" spans="1:84" ht="17.7" x14ac:dyDescent="0.55000000000000004">
      <c r="A12" s="121" t="s">
        <v>130</v>
      </c>
      <c r="B12" s="121"/>
      <c r="C12" s="121"/>
      <c r="D12" s="121"/>
      <c r="E12" s="121"/>
      <c r="F12" s="121"/>
      <c r="G12" s="121"/>
      <c r="H12" s="121"/>
      <c r="I12" s="121"/>
      <c r="J12" s="121"/>
      <c r="K12" s="121"/>
      <c r="L12" s="121"/>
      <c r="M12" s="121"/>
      <c r="N12" s="121"/>
      <c r="O12" s="121"/>
      <c r="P12" s="121"/>
      <c r="Q12" s="121"/>
      <c r="R12" s="121"/>
      <c r="S12" s="121"/>
      <c r="T12" s="121"/>
      <c r="U12" s="121"/>
      <c r="V12" s="121"/>
      <c r="W12" s="1"/>
      <c r="X12" s="1"/>
      <c r="Y12" s="1"/>
      <c r="Z12" s="1"/>
      <c r="AA12" s="1"/>
    </row>
    <row r="13" spans="1:84" ht="7.5" customHeight="1" x14ac:dyDescent="0.55000000000000004">
      <c r="A13" s="44"/>
      <c r="B13" s="44"/>
      <c r="C13" s="44"/>
      <c r="D13" s="44"/>
      <c r="E13" s="44"/>
      <c r="F13" s="44"/>
      <c r="G13" s="44"/>
      <c r="H13" s="44"/>
      <c r="I13" s="44"/>
      <c r="J13" s="44"/>
      <c r="K13" s="44"/>
      <c r="L13" s="44"/>
      <c r="M13" s="44"/>
      <c r="N13" s="44"/>
      <c r="O13" s="44"/>
      <c r="P13" s="44"/>
      <c r="Q13" s="44"/>
      <c r="R13" s="44"/>
      <c r="S13" s="44"/>
      <c r="T13" s="44"/>
      <c r="U13" s="44"/>
      <c r="V13" s="44"/>
      <c r="W13" s="1"/>
      <c r="X13" s="1"/>
      <c r="Y13" s="1"/>
      <c r="Z13" s="1"/>
      <c r="AA13" s="1"/>
    </row>
    <row r="14" spans="1:84" s="10" customFormat="1" ht="18" customHeight="1" x14ac:dyDescent="0.5">
      <c r="A14" s="5" t="s">
        <v>44</v>
      </c>
      <c r="C14" s="12">
        <f>'Cost of Production'!C50</f>
        <v>575</v>
      </c>
      <c r="D14" s="10" t="s">
        <v>5</v>
      </c>
      <c r="H14" s="63" t="s">
        <v>69</v>
      </c>
      <c r="I14" s="62">
        <v>325</v>
      </c>
      <c r="J14" s="5" t="s">
        <v>70</v>
      </c>
    </row>
    <row r="15" spans="1:84" ht="18" customHeight="1" x14ac:dyDescent="0.55000000000000004">
      <c r="A15" s="5" t="s">
        <v>45</v>
      </c>
      <c r="B15" s="10"/>
      <c r="C15" s="12">
        <v>100</v>
      </c>
      <c r="D15" s="5" t="s">
        <v>46</v>
      </c>
      <c r="E15" s="2"/>
    </row>
    <row r="16" spans="1:84" ht="18" customHeight="1" x14ac:dyDescent="0.55000000000000004">
      <c r="A16" s="5" t="s">
        <v>47</v>
      </c>
      <c r="B16" s="10"/>
      <c r="C16" s="57">
        <f>SUM(C15*C14)</f>
        <v>57500</v>
      </c>
      <c r="D16" s="10" t="s">
        <v>5</v>
      </c>
      <c r="E16" s="2"/>
    </row>
    <row r="17" spans="1:54" ht="7.5" customHeight="1" x14ac:dyDescent="0.55000000000000004">
      <c r="A17" s="44"/>
      <c r="B17" s="44"/>
      <c r="C17" s="44"/>
      <c r="D17" s="44"/>
      <c r="E17" s="44"/>
      <c r="F17" s="44"/>
      <c r="G17" s="44"/>
      <c r="H17" s="44"/>
      <c r="I17" s="44"/>
      <c r="J17" s="44"/>
      <c r="K17" s="44"/>
      <c r="L17" s="44"/>
      <c r="M17" s="44"/>
      <c r="N17" s="44"/>
      <c r="O17" s="44"/>
      <c r="P17" s="44"/>
      <c r="Q17" s="44"/>
      <c r="R17" s="44"/>
      <c r="S17" s="44"/>
      <c r="T17" s="44"/>
      <c r="U17" s="44"/>
      <c r="V17" s="44"/>
      <c r="W17" s="1"/>
      <c r="X17" s="1"/>
      <c r="Y17" s="1"/>
      <c r="Z17" s="1"/>
      <c r="AA17" s="1"/>
    </row>
    <row r="18" spans="1:54" ht="17.7" x14ac:dyDescent="0.55000000000000004">
      <c r="A18" s="121" t="s">
        <v>131</v>
      </c>
      <c r="B18" s="121"/>
      <c r="C18" s="121"/>
      <c r="D18" s="121"/>
      <c r="E18" s="121"/>
      <c r="F18" s="121"/>
      <c r="G18" s="121"/>
      <c r="H18" s="121"/>
      <c r="I18" s="121"/>
      <c r="J18" s="121"/>
      <c r="K18" s="121"/>
      <c r="L18" s="121"/>
      <c r="M18" s="121"/>
      <c r="N18" s="121"/>
      <c r="O18" s="121"/>
      <c r="P18" s="121"/>
      <c r="Q18" s="121"/>
      <c r="R18" s="121"/>
      <c r="S18" s="121"/>
      <c r="T18" s="121"/>
      <c r="U18" s="121"/>
      <c r="V18" s="121"/>
      <c r="W18" s="1"/>
      <c r="X18" s="1"/>
      <c r="Y18" s="1"/>
      <c r="Z18" s="1"/>
      <c r="AA18" s="1"/>
    </row>
    <row r="19" spans="1:54" ht="7.5" customHeight="1" x14ac:dyDescent="0.55000000000000004">
      <c r="A19" s="44"/>
      <c r="B19" s="44"/>
      <c r="C19" s="44"/>
      <c r="D19" s="44"/>
      <c r="E19" s="44"/>
      <c r="F19" s="44"/>
      <c r="G19" s="44"/>
      <c r="H19" s="44"/>
      <c r="I19" s="44"/>
      <c r="J19" s="44"/>
      <c r="K19" s="44"/>
      <c r="L19" s="44"/>
      <c r="M19" s="44"/>
      <c r="N19" s="44"/>
      <c r="O19" s="44"/>
      <c r="P19" s="44"/>
      <c r="Q19" s="44"/>
      <c r="R19" s="44"/>
      <c r="S19" s="44"/>
      <c r="T19" s="44"/>
      <c r="U19" s="44"/>
      <c r="V19" s="44"/>
      <c r="W19" s="1"/>
      <c r="X19" s="1"/>
      <c r="Y19" s="1"/>
      <c r="Z19" s="1"/>
      <c r="AA19" s="1"/>
    </row>
    <row r="20" spans="1:54" ht="17.7" x14ac:dyDescent="0.6">
      <c r="A20" s="1" t="str">
        <f>"Premium Cost ($/head @ "&amp;C14&amp;" lbs)"</f>
        <v>Premium Cost ($/head @ 575 lbs)</v>
      </c>
      <c r="B20" s="61"/>
      <c r="C20" s="40">
        <f t="shared" ref="C20:V20" si="1">IF(SUM(C10*($C$14/100))=0,"",SUM(C10*($C$14/100)))</f>
        <v>67.39</v>
      </c>
      <c r="D20" s="40">
        <f t="shared" si="1"/>
        <v>60.949999999999996</v>
      </c>
      <c r="E20" s="40">
        <f t="shared" si="1"/>
        <v>54.854999999999997</v>
      </c>
      <c r="F20" s="40">
        <f t="shared" si="1"/>
        <v>48.472499999999997</v>
      </c>
      <c r="G20" s="40">
        <f t="shared" si="1"/>
        <v>42.377499999999998</v>
      </c>
      <c r="H20" s="40">
        <f t="shared" si="1"/>
        <v>37.662500000000001</v>
      </c>
      <c r="I20" s="40">
        <f t="shared" si="1"/>
        <v>32.142499999999998</v>
      </c>
      <c r="J20" s="40">
        <f t="shared" si="1"/>
        <v>28.002500000000001</v>
      </c>
      <c r="K20" s="40">
        <f t="shared" si="1"/>
        <v>23.344999999999999</v>
      </c>
      <c r="L20" s="40">
        <f t="shared" si="1"/>
        <v>19.377500000000001</v>
      </c>
      <c r="M20" s="40">
        <f t="shared" si="1"/>
        <v>18.285</v>
      </c>
      <c r="N20" s="40">
        <f t="shared" si="1"/>
        <v>16.962500000000002</v>
      </c>
      <c r="O20" s="40">
        <f t="shared" si="1"/>
        <v>16.215</v>
      </c>
      <c r="P20" s="40">
        <f t="shared" si="1"/>
        <v>15.467499999999999</v>
      </c>
      <c r="Q20" s="40">
        <f t="shared" si="1"/>
        <v>14.7775</v>
      </c>
      <c r="R20" s="40" t="str">
        <f t="shared" si="1"/>
        <v/>
      </c>
      <c r="S20" s="40" t="str">
        <f t="shared" si="1"/>
        <v/>
      </c>
      <c r="T20" s="40" t="str">
        <f t="shared" si="1"/>
        <v/>
      </c>
      <c r="U20" s="40" t="str">
        <f t="shared" si="1"/>
        <v/>
      </c>
      <c r="V20" s="40" t="str">
        <f t="shared" si="1"/>
        <v/>
      </c>
    </row>
    <row r="21" spans="1:54" ht="17.7" x14ac:dyDescent="0.6">
      <c r="A21" s="1" t="str">
        <f>"Insured Value ($/head @ "&amp;C14&amp;" lbs)"</f>
        <v>Insured Value ($/head @ 575 lbs)</v>
      </c>
      <c r="B21" s="61"/>
      <c r="C21" s="42">
        <f t="shared" ref="C21:V21" si="2">IF(SUM(C10*($C$14/100))=0,"",SUM(C9*($C$14/100)))</f>
        <v>2254</v>
      </c>
      <c r="D21" s="42">
        <f t="shared" si="2"/>
        <v>2242.5</v>
      </c>
      <c r="E21" s="42">
        <f t="shared" si="2"/>
        <v>2231</v>
      </c>
      <c r="F21" s="42">
        <f t="shared" si="2"/>
        <v>2219.5</v>
      </c>
      <c r="G21" s="42">
        <f t="shared" si="2"/>
        <v>2208</v>
      </c>
      <c r="H21" s="42">
        <f t="shared" si="2"/>
        <v>2196.5</v>
      </c>
      <c r="I21" s="42">
        <f t="shared" si="2"/>
        <v>2185</v>
      </c>
      <c r="J21" s="42">
        <f t="shared" si="2"/>
        <v>2173.5</v>
      </c>
      <c r="K21" s="42">
        <f t="shared" si="2"/>
        <v>2162</v>
      </c>
      <c r="L21" s="42">
        <f t="shared" si="2"/>
        <v>2150.5</v>
      </c>
      <c r="M21" s="42">
        <f t="shared" si="2"/>
        <v>2139</v>
      </c>
      <c r="N21" s="42">
        <f t="shared" si="2"/>
        <v>2127.5</v>
      </c>
      <c r="O21" s="42">
        <f t="shared" si="2"/>
        <v>2116</v>
      </c>
      <c r="P21" s="42">
        <f t="shared" si="2"/>
        <v>2104.5</v>
      </c>
      <c r="Q21" s="42">
        <f t="shared" si="2"/>
        <v>2093</v>
      </c>
      <c r="R21" s="42" t="str">
        <f t="shared" si="2"/>
        <v/>
      </c>
      <c r="S21" s="42" t="str">
        <f t="shared" si="2"/>
        <v/>
      </c>
      <c r="T21" s="42" t="str">
        <f t="shared" si="2"/>
        <v/>
      </c>
      <c r="U21" s="42" t="str">
        <f t="shared" si="2"/>
        <v/>
      </c>
      <c r="V21" s="42" t="str">
        <f t="shared" si="2"/>
        <v/>
      </c>
    </row>
    <row r="22" spans="1:54" ht="7.5" customHeight="1" x14ac:dyDescent="0.6">
      <c r="A22" s="1"/>
      <c r="B22" s="61"/>
      <c r="C22" s="42"/>
      <c r="D22" s="42"/>
      <c r="E22" s="42"/>
      <c r="F22" s="42"/>
      <c r="G22" s="42"/>
      <c r="H22" s="42"/>
      <c r="I22" s="42"/>
      <c r="J22" s="42"/>
      <c r="K22" s="42"/>
      <c r="L22" s="42"/>
      <c r="M22" s="42"/>
      <c r="N22" s="42"/>
      <c r="O22" s="42"/>
      <c r="P22" s="42"/>
      <c r="Q22" s="42"/>
      <c r="R22" s="42"/>
      <c r="S22" s="42"/>
      <c r="T22" s="42"/>
      <c r="U22" s="42"/>
      <c r="V22" s="42"/>
    </row>
    <row r="23" spans="1:54" ht="17.7" x14ac:dyDescent="0.6">
      <c r="A23" s="1" t="s">
        <v>60</v>
      </c>
      <c r="B23" s="61"/>
      <c r="C23" s="41">
        <f t="shared" ref="C23:V23" si="3">IF(SUM(C10*($C$14/100))=0,"",SUM(C20/C21))</f>
        <v>2.9897959183673471E-2</v>
      </c>
      <c r="D23" s="41">
        <f t="shared" si="3"/>
        <v>2.7179487179487177E-2</v>
      </c>
      <c r="E23" s="41">
        <f t="shared" si="3"/>
        <v>2.4587628865979379E-2</v>
      </c>
      <c r="F23" s="41">
        <f t="shared" si="3"/>
        <v>2.1839378238341967E-2</v>
      </c>
      <c r="G23" s="41">
        <f t="shared" si="3"/>
        <v>1.9192708333333332E-2</v>
      </c>
      <c r="H23" s="41">
        <f t="shared" si="3"/>
        <v>1.7146596858638743E-2</v>
      </c>
      <c r="I23" s="41">
        <f t="shared" si="3"/>
        <v>1.4710526315789473E-2</v>
      </c>
      <c r="J23" s="41">
        <f t="shared" si="3"/>
        <v>1.2883597883597884E-2</v>
      </c>
      <c r="K23" s="41">
        <f t="shared" si="3"/>
        <v>1.0797872340425532E-2</v>
      </c>
      <c r="L23" s="41">
        <f t="shared" si="3"/>
        <v>9.0106951871657768E-3</v>
      </c>
      <c r="M23" s="41">
        <f t="shared" si="3"/>
        <v>8.5483870967741939E-3</v>
      </c>
      <c r="N23" s="41">
        <f t="shared" si="3"/>
        <v>7.9729729729729748E-3</v>
      </c>
      <c r="O23" s="41">
        <f t="shared" si="3"/>
        <v>7.6630434782608697E-3</v>
      </c>
      <c r="P23" s="41">
        <f t="shared" si="3"/>
        <v>7.3497267759562836E-3</v>
      </c>
      <c r="Q23" s="41">
        <f t="shared" si="3"/>
        <v>7.0604395604395602E-3</v>
      </c>
      <c r="R23" s="41" t="str">
        <f t="shared" si="3"/>
        <v/>
      </c>
      <c r="S23" s="41" t="str">
        <f t="shared" si="3"/>
        <v/>
      </c>
      <c r="T23" s="41" t="str">
        <f t="shared" si="3"/>
        <v/>
      </c>
      <c r="U23" s="41" t="str">
        <f t="shared" si="3"/>
        <v/>
      </c>
      <c r="V23" s="41" t="str">
        <f t="shared" si="3"/>
        <v/>
      </c>
    </row>
    <row r="24" spans="1:54" ht="7.5" customHeight="1" x14ac:dyDescent="0.6">
      <c r="A24" s="1"/>
      <c r="B24" s="61"/>
      <c r="C24" s="40"/>
      <c r="D24" s="40"/>
      <c r="E24" s="40"/>
      <c r="F24" s="40"/>
      <c r="G24" s="40"/>
      <c r="H24" s="40"/>
      <c r="I24" s="40"/>
      <c r="J24" s="40"/>
      <c r="K24" s="40"/>
      <c r="L24" s="40"/>
      <c r="M24" s="40"/>
      <c r="N24" s="40"/>
      <c r="O24" s="40"/>
      <c r="P24" s="40"/>
      <c r="Q24" s="40"/>
      <c r="R24" s="40"/>
      <c r="S24" s="40"/>
      <c r="T24" s="40"/>
      <c r="U24" s="40"/>
      <c r="V24" s="40"/>
    </row>
    <row r="25" spans="1:54" ht="17.7" x14ac:dyDescent="0.6">
      <c r="A25" s="1" t="str">
        <f>"Total Premium ("&amp;C15&amp;" calves)"</f>
        <v>Total Premium (100 calves)</v>
      </c>
      <c r="B25" s="61"/>
      <c r="C25" s="42">
        <f t="shared" ref="C25:V25" si="4">IF(SUM(C10*($C$14/100))=0,"",SUM(C20*$C$15))</f>
        <v>6739</v>
      </c>
      <c r="D25" s="42">
        <f t="shared" si="4"/>
        <v>6095</v>
      </c>
      <c r="E25" s="42">
        <f t="shared" si="4"/>
        <v>5485.5</v>
      </c>
      <c r="F25" s="42">
        <f t="shared" si="4"/>
        <v>4847.25</v>
      </c>
      <c r="G25" s="42">
        <f t="shared" si="4"/>
        <v>4237.75</v>
      </c>
      <c r="H25" s="42">
        <f t="shared" si="4"/>
        <v>3766.25</v>
      </c>
      <c r="I25" s="42">
        <f t="shared" si="4"/>
        <v>3214.25</v>
      </c>
      <c r="J25" s="42">
        <f t="shared" si="4"/>
        <v>2800.25</v>
      </c>
      <c r="K25" s="42">
        <f t="shared" si="4"/>
        <v>2334.5</v>
      </c>
      <c r="L25" s="42">
        <f t="shared" si="4"/>
        <v>1937.7500000000002</v>
      </c>
      <c r="M25" s="42">
        <f t="shared" si="4"/>
        <v>1828.5</v>
      </c>
      <c r="N25" s="42">
        <f t="shared" si="4"/>
        <v>1696.2500000000002</v>
      </c>
      <c r="O25" s="42">
        <f t="shared" si="4"/>
        <v>1621.5</v>
      </c>
      <c r="P25" s="42">
        <f t="shared" si="4"/>
        <v>1546.75</v>
      </c>
      <c r="Q25" s="42">
        <f t="shared" si="4"/>
        <v>1477.75</v>
      </c>
      <c r="R25" s="42" t="str">
        <f t="shared" si="4"/>
        <v/>
      </c>
      <c r="S25" s="42" t="str">
        <f t="shared" si="4"/>
        <v/>
      </c>
      <c r="T25" s="42" t="str">
        <f t="shared" si="4"/>
        <v/>
      </c>
      <c r="U25" s="42" t="str">
        <f t="shared" si="4"/>
        <v/>
      </c>
      <c r="V25" s="42" t="str">
        <f t="shared" si="4"/>
        <v/>
      </c>
    </row>
    <row r="26" spans="1:54" x14ac:dyDescent="0.55000000000000004">
      <c r="A26" s="1" t="str">
        <f>"Total Insured Value ("&amp;C15&amp;" calves)"</f>
        <v>Total Insured Value (100 calves)</v>
      </c>
      <c r="B26" s="1"/>
      <c r="C26" s="42">
        <f t="shared" ref="C26:V26" si="5">IF(SUM(C10*($C$14/100))=0,"",SUM(C21*$C$15))</f>
        <v>225400</v>
      </c>
      <c r="D26" s="42">
        <f t="shared" si="5"/>
        <v>224250</v>
      </c>
      <c r="E26" s="42">
        <f t="shared" si="5"/>
        <v>223100</v>
      </c>
      <c r="F26" s="42">
        <f t="shared" si="5"/>
        <v>221950</v>
      </c>
      <c r="G26" s="42">
        <f t="shared" si="5"/>
        <v>220800</v>
      </c>
      <c r="H26" s="42">
        <f t="shared" si="5"/>
        <v>219650</v>
      </c>
      <c r="I26" s="42">
        <f t="shared" si="5"/>
        <v>218500</v>
      </c>
      <c r="J26" s="42">
        <f t="shared" si="5"/>
        <v>217350</v>
      </c>
      <c r="K26" s="42">
        <f t="shared" si="5"/>
        <v>216200</v>
      </c>
      <c r="L26" s="42">
        <f t="shared" si="5"/>
        <v>215050</v>
      </c>
      <c r="M26" s="42">
        <f t="shared" si="5"/>
        <v>213900</v>
      </c>
      <c r="N26" s="42">
        <f t="shared" si="5"/>
        <v>212750</v>
      </c>
      <c r="O26" s="42">
        <f t="shared" si="5"/>
        <v>211600</v>
      </c>
      <c r="P26" s="42">
        <f t="shared" si="5"/>
        <v>210450</v>
      </c>
      <c r="Q26" s="42">
        <f t="shared" si="5"/>
        <v>209300</v>
      </c>
      <c r="R26" s="42" t="str">
        <f t="shared" si="5"/>
        <v/>
      </c>
      <c r="S26" s="42" t="str">
        <f t="shared" si="5"/>
        <v/>
      </c>
      <c r="T26" s="42" t="str">
        <f t="shared" si="5"/>
        <v/>
      </c>
      <c r="U26" s="42" t="str">
        <f t="shared" si="5"/>
        <v/>
      </c>
      <c r="V26" s="42" t="str">
        <f t="shared" si="5"/>
        <v/>
      </c>
    </row>
    <row r="27" spans="1:54" ht="7.5" customHeight="1" x14ac:dyDescent="0.55000000000000004">
      <c r="C27" s="6"/>
      <c r="D27" s="6"/>
      <c r="E27" s="6"/>
      <c r="F27" s="6"/>
      <c r="G27" s="6"/>
      <c r="H27" s="6"/>
      <c r="I27" s="6"/>
      <c r="J27" s="6"/>
    </row>
    <row r="28" spans="1:54" ht="18" customHeight="1" x14ac:dyDescent="0.55000000000000004">
      <c r="A28" s="1" t="s">
        <v>68</v>
      </c>
      <c r="C28" s="6"/>
      <c r="D28" s="6"/>
      <c r="E28" s="6"/>
      <c r="F28" s="6"/>
      <c r="G28" s="6"/>
      <c r="H28" s="6"/>
      <c r="I28" s="6"/>
      <c r="J28" s="6"/>
    </row>
    <row r="29" spans="1:54" ht="18" hidden="1" customHeight="1" x14ac:dyDescent="0.55000000000000004">
      <c r="B29" s="3" t="s">
        <v>61</v>
      </c>
      <c r="C29" s="51">
        <f t="shared" ref="C29:V29" si="6">IF(OR(D25="",C25=""),"",SUM(C20-D20))</f>
        <v>6.4400000000000048</v>
      </c>
      <c r="D29" s="51">
        <f t="shared" si="6"/>
        <v>6.0949999999999989</v>
      </c>
      <c r="E29" s="51">
        <f t="shared" si="6"/>
        <v>6.3825000000000003</v>
      </c>
      <c r="F29" s="51">
        <f t="shared" si="6"/>
        <v>6.0949999999999989</v>
      </c>
      <c r="G29" s="51">
        <f t="shared" si="6"/>
        <v>4.7149999999999963</v>
      </c>
      <c r="H29" s="51">
        <f t="shared" si="6"/>
        <v>5.5200000000000031</v>
      </c>
      <c r="I29" s="51">
        <f t="shared" si="6"/>
        <v>4.139999999999997</v>
      </c>
      <c r="J29" s="51">
        <f t="shared" si="6"/>
        <v>4.6575000000000024</v>
      </c>
      <c r="K29" s="51">
        <f t="shared" si="6"/>
        <v>3.9674999999999976</v>
      </c>
      <c r="L29" s="51">
        <f t="shared" si="6"/>
        <v>1.0925000000000011</v>
      </c>
      <c r="M29" s="51">
        <f t="shared" si="6"/>
        <v>1.322499999999998</v>
      </c>
      <c r="N29" s="51">
        <f t="shared" si="6"/>
        <v>0.74750000000000227</v>
      </c>
      <c r="O29" s="51">
        <f t="shared" si="6"/>
        <v>0.7475000000000005</v>
      </c>
      <c r="P29" s="51">
        <f t="shared" si="6"/>
        <v>0.6899999999999995</v>
      </c>
      <c r="Q29" s="51" t="str">
        <f t="shared" si="6"/>
        <v/>
      </c>
      <c r="R29" s="51" t="str">
        <f t="shared" si="6"/>
        <v/>
      </c>
      <c r="S29" s="51" t="str">
        <f t="shared" si="6"/>
        <v/>
      </c>
      <c r="T29" s="51" t="str">
        <f t="shared" si="6"/>
        <v/>
      </c>
      <c r="U29" s="51" t="str">
        <f t="shared" si="6"/>
        <v/>
      </c>
      <c r="V29" s="51" t="str">
        <f t="shared" si="6"/>
        <v/>
      </c>
      <c r="BB29" s="2">
        <f>SUM(BB28+1)</f>
        <v>1</v>
      </c>
    </row>
    <row r="30" spans="1:54" ht="18" hidden="1" customHeight="1" x14ac:dyDescent="0.55000000000000004">
      <c r="B30" s="3" t="s">
        <v>62</v>
      </c>
      <c r="C30" s="51">
        <f t="shared" ref="C30:V30" si="7">IF(OR(D25="",C25=""),"",SUM(C21-D21))</f>
        <v>11.5</v>
      </c>
      <c r="D30" s="51">
        <f t="shared" si="7"/>
        <v>11.5</v>
      </c>
      <c r="E30" s="51">
        <f t="shared" si="7"/>
        <v>11.5</v>
      </c>
      <c r="F30" s="51">
        <f t="shared" si="7"/>
        <v>11.5</v>
      </c>
      <c r="G30" s="51">
        <f t="shared" si="7"/>
        <v>11.5</v>
      </c>
      <c r="H30" s="51">
        <f t="shared" si="7"/>
        <v>11.5</v>
      </c>
      <c r="I30" s="51">
        <f t="shared" si="7"/>
        <v>11.5</v>
      </c>
      <c r="J30" s="51">
        <f t="shared" si="7"/>
        <v>11.5</v>
      </c>
      <c r="K30" s="51">
        <f t="shared" si="7"/>
        <v>11.5</v>
      </c>
      <c r="L30" s="51">
        <f t="shared" si="7"/>
        <v>11.5</v>
      </c>
      <c r="M30" s="51">
        <f t="shared" si="7"/>
        <v>11.5</v>
      </c>
      <c r="N30" s="51">
        <f t="shared" si="7"/>
        <v>11.5</v>
      </c>
      <c r="O30" s="51">
        <f t="shared" si="7"/>
        <v>11.5</v>
      </c>
      <c r="P30" s="51">
        <f t="shared" si="7"/>
        <v>11.5</v>
      </c>
      <c r="Q30" s="51" t="str">
        <f t="shared" si="7"/>
        <v/>
      </c>
      <c r="R30" s="51" t="str">
        <f t="shared" si="7"/>
        <v/>
      </c>
      <c r="S30" s="51" t="str">
        <f t="shared" si="7"/>
        <v/>
      </c>
      <c r="T30" s="51" t="str">
        <f t="shared" si="7"/>
        <v/>
      </c>
      <c r="U30" s="51" t="str">
        <f t="shared" si="7"/>
        <v/>
      </c>
      <c r="V30" s="51" t="str">
        <f t="shared" si="7"/>
        <v/>
      </c>
      <c r="BB30" s="2">
        <f>SUM(BB29+1)</f>
        <v>2</v>
      </c>
    </row>
    <row r="31" spans="1:54" x14ac:dyDescent="0.55000000000000004">
      <c r="B31" s="3" t="s">
        <v>65</v>
      </c>
      <c r="C31" s="40">
        <f t="shared" ref="C31:V31" si="8">IF(OR(D25="",C25=""),"",SUM((C25-D25)/(C26-D26)))</f>
        <v>0.56000000000000005</v>
      </c>
      <c r="D31" s="40">
        <f t="shared" si="8"/>
        <v>0.53</v>
      </c>
      <c r="E31" s="40">
        <f t="shared" si="8"/>
        <v>0.55500000000000005</v>
      </c>
      <c r="F31" s="40">
        <f t="shared" si="8"/>
        <v>0.53</v>
      </c>
      <c r="G31" s="40">
        <f t="shared" si="8"/>
        <v>0.41</v>
      </c>
      <c r="H31" s="40">
        <f t="shared" si="8"/>
        <v>0.48</v>
      </c>
      <c r="I31" s="40">
        <f t="shared" si="8"/>
        <v>0.36</v>
      </c>
      <c r="J31" s="40">
        <f t="shared" si="8"/>
        <v>0.40500000000000003</v>
      </c>
      <c r="K31" s="40">
        <f t="shared" si="8"/>
        <v>0.34499999999999981</v>
      </c>
      <c r="L31" s="40">
        <f t="shared" si="8"/>
        <v>9.5000000000000195E-2</v>
      </c>
      <c r="M31" s="40">
        <f t="shared" si="8"/>
        <v>0.1149999999999998</v>
      </c>
      <c r="N31" s="40">
        <f t="shared" si="8"/>
        <v>6.5000000000000197E-2</v>
      </c>
      <c r="O31" s="40">
        <f t="shared" si="8"/>
        <v>6.5000000000000002E-2</v>
      </c>
      <c r="P31" s="40">
        <f t="shared" si="8"/>
        <v>0.06</v>
      </c>
      <c r="Q31" s="40" t="str">
        <f t="shared" si="8"/>
        <v/>
      </c>
      <c r="R31" s="40" t="str">
        <f t="shared" si="8"/>
        <v/>
      </c>
      <c r="S31" s="40" t="str">
        <f t="shared" si="8"/>
        <v/>
      </c>
      <c r="T31" s="40" t="str">
        <f t="shared" si="8"/>
        <v/>
      </c>
      <c r="U31" s="40" t="str">
        <f t="shared" si="8"/>
        <v/>
      </c>
      <c r="V31" s="40" t="str">
        <f t="shared" si="8"/>
        <v/>
      </c>
    </row>
    <row r="32" spans="1:54" ht="7.5" customHeight="1" x14ac:dyDescent="0.55000000000000004">
      <c r="B32" s="1"/>
      <c r="C32" s="40"/>
      <c r="D32" s="40"/>
      <c r="E32" s="40"/>
      <c r="F32" s="40"/>
      <c r="G32" s="40"/>
      <c r="H32" s="40"/>
      <c r="I32" s="40"/>
      <c r="J32" s="40"/>
      <c r="K32" s="40"/>
      <c r="L32" s="40"/>
      <c r="M32" s="40"/>
      <c r="N32" s="40"/>
      <c r="O32" s="40"/>
      <c r="P32" s="40"/>
      <c r="Q32" s="40"/>
      <c r="R32" s="40"/>
      <c r="S32" s="40"/>
      <c r="T32" s="40"/>
      <c r="U32" s="40"/>
      <c r="V32" s="40"/>
    </row>
    <row r="33" spans="1:27" ht="17.7" x14ac:dyDescent="0.55000000000000004">
      <c r="A33" s="121" t="s">
        <v>132</v>
      </c>
      <c r="B33" s="121"/>
      <c r="C33" s="121"/>
      <c r="D33" s="121"/>
      <c r="E33" s="121"/>
      <c r="F33" s="121"/>
      <c r="G33" s="121"/>
      <c r="H33" s="121"/>
      <c r="I33" s="121"/>
      <c r="J33" s="121"/>
      <c r="K33" s="121"/>
      <c r="L33" s="121"/>
      <c r="M33" s="121"/>
      <c r="N33" s="121"/>
      <c r="O33" s="121"/>
      <c r="P33" s="121"/>
      <c r="Q33" s="121"/>
      <c r="R33" s="121"/>
      <c r="S33" s="121"/>
      <c r="T33" s="121"/>
      <c r="U33" s="121"/>
      <c r="V33" s="121"/>
      <c r="W33" s="1"/>
      <c r="X33" s="1"/>
      <c r="Y33" s="1"/>
      <c r="Z33" s="1"/>
      <c r="AA33" s="1"/>
    </row>
    <row r="34" spans="1:27" ht="7.5" customHeight="1" x14ac:dyDescent="0.55000000000000004">
      <c r="A34" s="44"/>
      <c r="B34" s="44"/>
      <c r="C34" s="44"/>
      <c r="D34" s="44"/>
      <c r="E34" s="44"/>
      <c r="F34" s="44"/>
      <c r="G34" s="44"/>
      <c r="H34" s="44"/>
      <c r="I34" s="44"/>
      <c r="J34" s="44"/>
      <c r="K34" s="44"/>
      <c r="L34" s="44"/>
      <c r="M34" s="44"/>
      <c r="N34" s="44"/>
      <c r="O34" s="44"/>
      <c r="P34" s="44"/>
      <c r="Q34" s="44"/>
      <c r="R34" s="44"/>
      <c r="S34" s="44"/>
      <c r="T34" s="44"/>
      <c r="U34" s="44"/>
      <c r="V34" s="44"/>
      <c r="W34" s="1"/>
      <c r="X34" s="1"/>
      <c r="Y34" s="1"/>
      <c r="Z34" s="1"/>
      <c r="AA34" s="1"/>
    </row>
    <row r="35" spans="1:27" x14ac:dyDescent="0.55000000000000004">
      <c r="A35" s="1" t="str">
        <f>"LPI Payment at Estimated Settlement Price = $"&amp;I14&amp;"/cwt"</f>
        <v>LPI Payment at Estimated Settlement Price = $325/cwt</v>
      </c>
      <c r="C35" s="40"/>
      <c r="D35" s="40"/>
      <c r="E35" s="40"/>
      <c r="F35" s="40"/>
      <c r="G35" s="40"/>
      <c r="H35" s="40"/>
      <c r="I35" s="40"/>
      <c r="J35" s="40"/>
      <c r="K35" s="40"/>
      <c r="L35" s="40"/>
      <c r="M35" s="40"/>
      <c r="N35" s="40"/>
      <c r="O35" s="40"/>
      <c r="P35" s="40"/>
      <c r="Q35" s="40"/>
      <c r="R35" s="40"/>
      <c r="S35" s="40"/>
      <c r="T35" s="40"/>
      <c r="U35" s="40"/>
      <c r="V35" s="40"/>
    </row>
    <row r="36" spans="1:27" x14ac:dyDescent="0.55000000000000004">
      <c r="B36" s="3" t="s">
        <v>133</v>
      </c>
      <c r="C36" s="42">
        <f t="shared" ref="C36:V36" si="9">IF(SUM(C10*($C$14/100))=0,"",IF(ROUND(C9-$I$14,1)&lt;1,"-",SUM(C9-$I$14)*$C$14/100))</f>
        <v>385.25</v>
      </c>
      <c r="D36" s="42">
        <f t="shared" si="9"/>
        <v>373.75</v>
      </c>
      <c r="E36" s="42">
        <f t="shared" si="9"/>
        <v>362.25</v>
      </c>
      <c r="F36" s="42">
        <f t="shared" si="9"/>
        <v>350.75</v>
      </c>
      <c r="G36" s="42">
        <f t="shared" si="9"/>
        <v>339.25</v>
      </c>
      <c r="H36" s="42">
        <f t="shared" si="9"/>
        <v>327.75</v>
      </c>
      <c r="I36" s="42">
        <f t="shared" si="9"/>
        <v>316.25</v>
      </c>
      <c r="J36" s="42">
        <f t="shared" si="9"/>
        <v>304.75</v>
      </c>
      <c r="K36" s="42">
        <f t="shared" si="9"/>
        <v>293.25</v>
      </c>
      <c r="L36" s="42">
        <f t="shared" si="9"/>
        <v>281.75</v>
      </c>
      <c r="M36" s="42">
        <f t="shared" si="9"/>
        <v>270.25</v>
      </c>
      <c r="N36" s="42">
        <f t="shared" si="9"/>
        <v>258.75</v>
      </c>
      <c r="O36" s="42">
        <f t="shared" si="9"/>
        <v>247.25</v>
      </c>
      <c r="P36" s="42">
        <f t="shared" si="9"/>
        <v>235.75</v>
      </c>
      <c r="Q36" s="42">
        <f t="shared" si="9"/>
        <v>224.25</v>
      </c>
      <c r="R36" s="42" t="str">
        <f t="shared" si="9"/>
        <v/>
      </c>
      <c r="S36" s="42" t="str">
        <f t="shared" si="9"/>
        <v/>
      </c>
      <c r="T36" s="42" t="str">
        <f t="shared" si="9"/>
        <v/>
      </c>
      <c r="U36" s="42" t="str">
        <f t="shared" si="9"/>
        <v/>
      </c>
      <c r="V36" s="42" t="str">
        <f t="shared" si="9"/>
        <v/>
      </c>
    </row>
    <row r="37" spans="1:27" x14ac:dyDescent="0.55000000000000004">
      <c r="B37" s="1" t="str">
        <f>"Total LPI ($ per "&amp;C15&amp;" calves)"</f>
        <v>Total LPI ($ per 100 calves)</v>
      </c>
      <c r="C37" s="42">
        <f t="shared" ref="C37:V37" si="10">IF(SUM(C10*($C$14/100))=0,"",IF(C36="-","-",SUM(C36*$C$15)))</f>
        <v>38525</v>
      </c>
      <c r="D37" s="42">
        <f t="shared" si="10"/>
        <v>37375</v>
      </c>
      <c r="E37" s="42">
        <f t="shared" si="10"/>
        <v>36225</v>
      </c>
      <c r="F37" s="42">
        <f t="shared" si="10"/>
        <v>35075</v>
      </c>
      <c r="G37" s="42">
        <f t="shared" si="10"/>
        <v>33925</v>
      </c>
      <c r="H37" s="42">
        <f t="shared" si="10"/>
        <v>32775</v>
      </c>
      <c r="I37" s="42">
        <f t="shared" si="10"/>
        <v>31625</v>
      </c>
      <c r="J37" s="42">
        <f t="shared" si="10"/>
        <v>30475</v>
      </c>
      <c r="K37" s="42">
        <f t="shared" si="10"/>
        <v>29325</v>
      </c>
      <c r="L37" s="42">
        <f t="shared" si="10"/>
        <v>28175</v>
      </c>
      <c r="M37" s="42">
        <f t="shared" si="10"/>
        <v>27025</v>
      </c>
      <c r="N37" s="42">
        <f t="shared" si="10"/>
        <v>25875</v>
      </c>
      <c r="O37" s="42">
        <f t="shared" si="10"/>
        <v>24725</v>
      </c>
      <c r="P37" s="42">
        <f t="shared" si="10"/>
        <v>23575</v>
      </c>
      <c r="Q37" s="42">
        <f t="shared" si="10"/>
        <v>22425</v>
      </c>
      <c r="R37" s="42" t="str">
        <f t="shared" si="10"/>
        <v/>
      </c>
      <c r="S37" s="42" t="str">
        <f t="shared" si="10"/>
        <v/>
      </c>
      <c r="T37" s="42" t="str">
        <f t="shared" si="10"/>
        <v/>
      </c>
      <c r="U37" s="42" t="str">
        <f t="shared" si="10"/>
        <v/>
      </c>
      <c r="V37" s="42" t="str">
        <f t="shared" si="10"/>
        <v/>
      </c>
    </row>
    <row r="38" spans="1:27" ht="7.5" customHeight="1" x14ac:dyDescent="0.55000000000000004">
      <c r="C38" s="6"/>
      <c r="D38" s="6"/>
      <c r="E38" s="6"/>
      <c r="F38" s="6"/>
      <c r="G38" s="6"/>
      <c r="H38" s="6"/>
      <c r="I38" s="6"/>
      <c r="J38" s="6"/>
    </row>
    <row r="39" spans="1:27" x14ac:dyDescent="0.55000000000000004">
      <c r="A39" s="1" t="s">
        <v>134</v>
      </c>
      <c r="C39" s="6"/>
      <c r="D39" s="6"/>
      <c r="E39" s="6"/>
      <c r="F39" s="6"/>
      <c r="G39" s="6"/>
      <c r="H39" s="6"/>
      <c r="I39" s="6"/>
      <c r="J39" s="6"/>
    </row>
    <row r="40" spans="1:27" x14ac:dyDescent="0.55000000000000004">
      <c r="B40" s="3" t="s">
        <v>48</v>
      </c>
      <c r="C40" s="51" t="str">
        <f>IF(SUM(C10*($C$14/100))=0,"",IF(C20+'Cost of Production'!$C$33-' LPI Calculator'!C21&lt;0,"-",SUM(C20+'Cost of Production'!$C$33-' LPI Calculator'!C21)))</f>
        <v>-</v>
      </c>
      <c r="D40" s="51" t="str">
        <f>IF(SUM(D10*($C$14/100))=0,"",IF(D20+'Cost of Production'!$C$33-' LPI Calculator'!D21&lt;0,"-",SUM(D20+'Cost of Production'!$C$33-' LPI Calculator'!D21)))</f>
        <v>-</v>
      </c>
      <c r="E40" s="51" t="str">
        <f>IF(SUM(E10*($C$14/100))=0,"",IF(E20+'Cost of Production'!$C$33-' LPI Calculator'!E21&lt;0,"-",SUM(E20+'Cost of Production'!$C$33-' LPI Calculator'!E21)))</f>
        <v>-</v>
      </c>
      <c r="F40" s="51" t="str">
        <f>IF(SUM(F10*($C$14/100))=0,"",IF(F20+'Cost of Production'!$C$33-' LPI Calculator'!F21&lt;0,"-",SUM(F20+'Cost of Production'!$C$33-' LPI Calculator'!F21)))</f>
        <v>-</v>
      </c>
      <c r="G40" s="51" t="str">
        <f>IF(SUM(G10*($C$14/100))=0,"",IF(G20+'Cost of Production'!$C$33-' LPI Calculator'!G21&lt;0,"-",SUM(G20+'Cost of Production'!$C$33-' LPI Calculator'!G21)))</f>
        <v>-</v>
      </c>
      <c r="H40" s="51" t="str">
        <f>IF(SUM(H10*($C$14/100))=0,"",IF(H20+'Cost of Production'!$C$33-' LPI Calculator'!H21&lt;0,"-",SUM(H20+'Cost of Production'!$C$33-' LPI Calculator'!H21)))</f>
        <v>-</v>
      </c>
      <c r="I40" s="51" t="str">
        <f>IF(SUM(I10*($C$14/100))=0,"",IF(I20+'Cost of Production'!$C$33-' LPI Calculator'!I21&lt;0,"-",SUM(I20+'Cost of Production'!$C$33-' LPI Calculator'!I21)))</f>
        <v>-</v>
      </c>
      <c r="J40" s="51" t="str">
        <f>IF(SUM(J10*($C$14/100))=0,"",IF(J20+'Cost of Production'!$C$33-' LPI Calculator'!J21&lt;0,"-",SUM(J20+'Cost of Production'!$C$33-' LPI Calculator'!J21)))</f>
        <v>-</v>
      </c>
      <c r="K40" s="51" t="str">
        <f>IF(SUM(K10*($C$14/100))=0,"",IF(K20+'Cost of Production'!$C$33-' LPI Calculator'!K21&lt;0,"-",SUM(K20+'Cost of Production'!$C$33-' LPI Calculator'!K21)))</f>
        <v>-</v>
      </c>
      <c r="L40" s="51" t="str">
        <f>IF(SUM(L10*($C$14/100))=0,"",IF(L20+'Cost of Production'!$C$33-' LPI Calculator'!L21&lt;0,"-",SUM(L20+'Cost of Production'!$C$33-' LPI Calculator'!L21)))</f>
        <v>-</v>
      </c>
      <c r="M40" s="51" t="str">
        <f>IF(SUM(M10*($C$14/100))=0,"",IF(M20+'Cost of Production'!$C$33-' LPI Calculator'!M21&lt;0,"-",SUM(M20+'Cost of Production'!$C$33-' LPI Calculator'!M21)))</f>
        <v>-</v>
      </c>
      <c r="N40" s="51" t="str">
        <f>IF(SUM(N10*($C$14/100))=0,"",IF(N20+'Cost of Production'!$C$33-' LPI Calculator'!N21&lt;0,"-",SUM(N20+'Cost of Production'!$C$33-' LPI Calculator'!N21)))</f>
        <v>-</v>
      </c>
      <c r="O40" s="51" t="str">
        <f>IF(SUM(O10*($C$14/100))=0,"",IF(O20+'Cost of Production'!$C$33-' LPI Calculator'!O21&lt;0,"-",SUM(O20+'Cost of Production'!$C$33-' LPI Calculator'!O21)))</f>
        <v>-</v>
      </c>
      <c r="P40" s="51" t="str">
        <f>IF(SUM(P10*($C$14/100))=0,"",IF(P20+'Cost of Production'!$C$33-' LPI Calculator'!P21&lt;0,"-",SUM(P20+'Cost of Production'!$C$33-' LPI Calculator'!P21)))</f>
        <v>-</v>
      </c>
      <c r="Q40" s="51" t="str">
        <f>IF(SUM(Q10*($C$14/100))=0,"",IF(Q20+'Cost of Production'!$C$33-' LPI Calculator'!Q21&lt;0,"-",SUM(Q20+'Cost of Production'!$C$33-' LPI Calculator'!Q21)))</f>
        <v>-</v>
      </c>
      <c r="R40" s="51" t="str">
        <f>IF(SUM(R10*($C$14/100))=0,"",IF(R20+'Cost of Production'!$C$33-' LPI Calculator'!R21&lt;0,"-",SUM(R20+'Cost of Production'!$C$33-' LPI Calculator'!R21)))</f>
        <v/>
      </c>
      <c r="S40" s="51" t="str">
        <f>IF(SUM(S10*($C$14/100))=0,"",IF(S20+'Cost of Production'!$C$33-' LPI Calculator'!S21&lt;0,"-",SUM(S20+'Cost of Production'!$C$33-' LPI Calculator'!S21)))</f>
        <v/>
      </c>
      <c r="T40" s="51" t="str">
        <f>IF(SUM(T10*($C$14/100))=0,"",IF(T20+'Cost of Production'!$C$33-' LPI Calculator'!T21&lt;0,"-",SUM(T20+'Cost of Production'!$C$33-' LPI Calculator'!T21)))</f>
        <v/>
      </c>
      <c r="U40" s="51" t="str">
        <f>IF(SUM(U10*($C$14/100))=0,"",IF(U20+'Cost of Production'!$C$33-' LPI Calculator'!U21&lt;0,"-",SUM(U20+'Cost of Production'!$C$33-' LPI Calculator'!U21)))</f>
        <v/>
      </c>
      <c r="V40" s="51" t="str">
        <f>IF(SUM(V10*($C$14/100))=0,"",IF(V20+'Cost of Production'!$C$33-' LPI Calculator'!V21&lt;0,"-",SUM(V20+'Cost of Production'!$C$33-' LPI Calculator'!V21)))</f>
        <v/>
      </c>
    </row>
    <row r="41" spans="1:27" x14ac:dyDescent="0.55000000000000004">
      <c r="B41" s="3" t="s">
        <v>58</v>
      </c>
      <c r="C41" s="51" t="str">
        <f>IF(SUM(C10*($C$14/100))=0,"",IF(C20+'Cost of Production'!$C$33+'Cost of Production'!$C$44-' LPI Calculator'!C21&lt;0,"-",SUM(C20+'Cost of Production'!$C$33+'Cost of Production'!$C$44-' LPI Calculator'!C21)))</f>
        <v>-</v>
      </c>
      <c r="D41" s="51" t="str">
        <f>IF(SUM(D10*($C$14/100))=0,"",IF(D20+'Cost of Production'!$C$33+'Cost of Production'!$C$44-' LPI Calculator'!D21&lt;0,"-",SUM(D20+'Cost of Production'!$C$33+'Cost of Production'!$C$44-' LPI Calculator'!D21)))</f>
        <v>-</v>
      </c>
      <c r="E41" s="51" t="str">
        <f>IF(SUM(E10*($C$14/100))=0,"",IF(E20+'Cost of Production'!$C$33+'Cost of Production'!$C$44-' LPI Calculator'!E21&lt;0,"-",SUM(E20+'Cost of Production'!$C$33+'Cost of Production'!$C$44-' LPI Calculator'!E21)))</f>
        <v>-</v>
      </c>
      <c r="F41" s="51" t="str">
        <f>IF(SUM(F10*($C$14/100))=0,"",IF(F20+'Cost of Production'!$C$33+'Cost of Production'!$C$44-' LPI Calculator'!F21&lt;0,"-",SUM(F20+'Cost of Production'!$C$33+'Cost of Production'!$C$44-' LPI Calculator'!F21)))</f>
        <v>-</v>
      </c>
      <c r="G41" s="51" t="str">
        <f>IF(SUM(G10*($C$14/100))=0,"",IF(G20+'Cost of Production'!$C$33+'Cost of Production'!$C$44-' LPI Calculator'!G21&lt;0,"-",SUM(G20+'Cost of Production'!$C$33+'Cost of Production'!$C$44-' LPI Calculator'!G21)))</f>
        <v>-</v>
      </c>
      <c r="H41" s="51" t="str">
        <f>IF(SUM(H10*($C$14/100))=0,"",IF(H20+'Cost of Production'!$C$33+'Cost of Production'!$C$44-' LPI Calculator'!H21&lt;0,"-",SUM(H20+'Cost of Production'!$C$33+'Cost of Production'!$C$44-' LPI Calculator'!H21)))</f>
        <v>-</v>
      </c>
      <c r="I41" s="51" t="str">
        <f>IF(SUM(I10*($C$14/100))=0,"",IF(I20+'Cost of Production'!$C$33+'Cost of Production'!$C$44-' LPI Calculator'!I21&lt;0,"-",SUM(I20+'Cost of Production'!$C$33+'Cost of Production'!$C$44-' LPI Calculator'!I21)))</f>
        <v>-</v>
      </c>
      <c r="J41" s="51" t="str">
        <f>IF(SUM(J10*($C$14/100))=0,"",IF(J20+'Cost of Production'!$C$33+'Cost of Production'!$C$44-' LPI Calculator'!J21&lt;0,"-",SUM(J20+'Cost of Production'!$C$33+'Cost of Production'!$C$44-' LPI Calculator'!J21)))</f>
        <v>-</v>
      </c>
      <c r="K41" s="51" t="str">
        <f>IF(SUM(K10*($C$14/100))=0,"",IF(K20+'Cost of Production'!$C$33+'Cost of Production'!$C$44-' LPI Calculator'!K21&lt;0,"-",SUM(K20+'Cost of Production'!$C$33+'Cost of Production'!$C$44-' LPI Calculator'!K21)))</f>
        <v>-</v>
      </c>
      <c r="L41" s="51" t="str">
        <f>IF(SUM(L10*($C$14/100))=0,"",IF(L20+'Cost of Production'!$C$33+'Cost of Production'!$C$44-' LPI Calculator'!L21&lt;0,"-",SUM(L20+'Cost of Production'!$C$33+'Cost of Production'!$C$44-' LPI Calculator'!L21)))</f>
        <v>-</v>
      </c>
      <c r="M41" s="51" t="str">
        <f>IF(SUM(M10*($C$14/100))=0,"",IF(M20+'Cost of Production'!$C$33+'Cost of Production'!$C$44-' LPI Calculator'!M21&lt;0,"-",SUM(M20+'Cost of Production'!$C$33+'Cost of Production'!$C$44-' LPI Calculator'!M21)))</f>
        <v>-</v>
      </c>
      <c r="N41" s="51" t="str">
        <f>IF(SUM(N10*($C$14/100))=0,"",IF(N20+'Cost of Production'!$C$33+'Cost of Production'!$C$44-' LPI Calculator'!N21&lt;0,"-",SUM(N20+'Cost of Production'!$C$33+'Cost of Production'!$C$44-' LPI Calculator'!N21)))</f>
        <v>-</v>
      </c>
      <c r="O41" s="51" t="str">
        <f>IF(SUM(O10*($C$14/100))=0,"",IF(O20+'Cost of Production'!$C$33+'Cost of Production'!$C$44-' LPI Calculator'!O21&lt;0,"-",SUM(O20+'Cost of Production'!$C$33+'Cost of Production'!$C$44-' LPI Calculator'!O21)))</f>
        <v>-</v>
      </c>
      <c r="P41" s="51" t="str">
        <f>IF(SUM(P10*($C$14/100))=0,"",IF(P20+'Cost of Production'!$C$33+'Cost of Production'!$C$44-' LPI Calculator'!P21&lt;0,"-",SUM(P20+'Cost of Production'!$C$33+'Cost of Production'!$C$44-' LPI Calculator'!P21)))</f>
        <v>-</v>
      </c>
      <c r="Q41" s="51" t="str">
        <f>IF(SUM(Q10*($C$14/100))=0,"",IF(Q20+'Cost of Production'!$C$33+'Cost of Production'!$C$44-' LPI Calculator'!Q21&lt;0,"-",SUM(Q20+'Cost of Production'!$C$33+'Cost of Production'!$C$44-' LPI Calculator'!Q21)))</f>
        <v>-</v>
      </c>
      <c r="R41" s="51" t="str">
        <f>IF(SUM(R10*($C$14/100))=0,"",IF(R20+'Cost of Production'!$C$33+'Cost of Production'!$C$44-' LPI Calculator'!R21&lt;0,"-",SUM(R20+'Cost of Production'!$C$33+'Cost of Production'!$C$44-' LPI Calculator'!R21)))</f>
        <v/>
      </c>
      <c r="S41" s="51" t="str">
        <f>IF(SUM(S10*($C$14/100))=0,"",IF(S20+'Cost of Production'!$C$33+'Cost of Production'!$C$44-' LPI Calculator'!S21&lt;0,"-",SUM(S20+'Cost of Production'!$C$33+'Cost of Production'!$C$44-' LPI Calculator'!S21)))</f>
        <v/>
      </c>
      <c r="T41" s="51" t="str">
        <f>IF(SUM(T10*($C$14/100))=0,"",IF(T20+'Cost of Production'!$C$33+'Cost of Production'!$C$44-' LPI Calculator'!T21&lt;0,"-",SUM(T20+'Cost of Production'!$C$33+'Cost of Production'!$C$44-' LPI Calculator'!T21)))</f>
        <v/>
      </c>
      <c r="U41" s="51" t="str">
        <f>IF(SUM(U10*($C$14/100))=0,"",IF(U20+'Cost of Production'!$C$33+'Cost of Production'!$C$44-' LPI Calculator'!U21&lt;0,"-",SUM(U20+'Cost of Production'!$C$33+'Cost of Production'!$C$44-' LPI Calculator'!U21)))</f>
        <v/>
      </c>
      <c r="V41" s="51" t="str">
        <f>IF(SUM(V10*($C$14/100))=0,"",IF(V20+'Cost of Production'!$C$33+'Cost of Production'!$C$44-' LPI Calculator'!V21&lt;0,"-",SUM(V20+'Cost of Production'!$C$33+'Cost of Production'!$C$44-' LPI Calculator'!V21)))</f>
        <v/>
      </c>
    </row>
    <row r="42" spans="1:27" x14ac:dyDescent="0.55000000000000004">
      <c r="B42" s="3" t="s">
        <v>49</v>
      </c>
      <c r="C42" s="51" t="str">
        <f>IF(SUM(C10*($C$14/100))=0,"",IF(C20+'Cost of Production'!$C$42-' LPI Calculator'!C21&lt;0,"-",SUM(C20+'Cost of Production'!$C$42-' LPI Calculator'!C21)))</f>
        <v>-</v>
      </c>
      <c r="D42" s="51" t="str">
        <f>IF(SUM(D10*($C$14/100))=0,"",IF(D20+'Cost of Production'!$C$42-' LPI Calculator'!D21&lt;0,"-",SUM(D20+'Cost of Production'!$C$42-' LPI Calculator'!D21)))</f>
        <v>-</v>
      </c>
      <c r="E42" s="51" t="str">
        <f>IF(SUM(E10*($C$14/100))=0,"",IF(E20+'Cost of Production'!$C$42-' LPI Calculator'!E21&lt;0,"-",SUM(E20+'Cost of Production'!$C$42-' LPI Calculator'!E21)))</f>
        <v>-</v>
      </c>
      <c r="F42" s="51" t="str">
        <f>IF(SUM(F10*($C$14/100))=0,"",IF(F20+'Cost of Production'!$C$42-' LPI Calculator'!F21&lt;0,"-",SUM(F20+'Cost of Production'!$C$42-' LPI Calculator'!F21)))</f>
        <v>-</v>
      </c>
      <c r="G42" s="51" t="str">
        <f>IF(SUM(G10*($C$14/100))=0,"",IF(G20+'Cost of Production'!$C$42-' LPI Calculator'!G21&lt;0,"-",SUM(G20+'Cost of Production'!$C$42-' LPI Calculator'!G21)))</f>
        <v>-</v>
      </c>
      <c r="H42" s="51" t="str">
        <f>IF(SUM(H10*($C$14/100))=0,"",IF(H20+'Cost of Production'!$C$42-' LPI Calculator'!H21&lt;0,"-",SUM(H20+'Cost of Production'!$C$42-' LPI Calculator'!H21)))</f>
        <v>-</v>
      </c>
      <c r="I42" s="51" t="str">
        <f>IF(SUM(I10*($C$14/100))=0,"",IF(I20+'Cost of Production'!$C$42-' LPI Calculator'!I21&lt;0,"-",SUM(I20+'Cost of Production'!$C$42-' LPI Calculator'!I21)))</f>
        <v>-</v>
      </c>
      <c r="J42" s="51" t="str">
        <f>IF(SUM(J10*($C$14/100))=0,"",IF(J20+'Cost of Production'!$C$42-' LPI Calculator'!J21&lt;0,"-",SUM(J20+'Cost of Production'!$C$42-' LPI Calculator'!J21)))</f>
        <v>-</v>
      </c>
      <c r="K42" s="51" t="str">
        <f>IF(SUM(K10*($C$14/100))=0,"",IF(K20+'Cost of Production'!$C$42-' LPI Calculator'!K21&lt;0,"-",SUM(K20+'Cost of Production'!$C$42-' LPI Calculator'!K21)))</f>
        <v>-</v>
      </c>
      <c r="L42" s="51" t="str">
        <f>IF(SUM(L10*($C$14/100))=0,"",IF(L20+'Cost of Production'!$C$42-' LPI Calculator'!L21&lt;0,"-",SUM(L20+'Cost of Production'!$C$42-' LPI Calculator'!L21)))</f>
        <v>-</v>
      </c>
      <c r="M42" s="51" t="str">
        <f>IF(SUM(M10*($C$14/100))=0,"",IF(M20+'Cost of Production'!$C$42-' LPI Calculator'!M21&lt;0,"-",SUM(M20+'Cost of Production'!$C$42-' LPI Calculator'!M21)))</f>
        <v>-</v>
      </c>
      <c r="N42" s="51" t="str">
        <f>IF(SUM(N10*($C$14/100))=0,"",IF(N20+'Cost of Production'!$C$42-' LPI Calculator'!N21&lt;0,"-",SUM(N20+'Cost of Production'!$C$42-' LPI Calculator'!N21)))</f>
        <v>-</v>
      </c>
      <c r="O42" s="51" t="str">
        <f>IF(SUM(O10*($C$14/100))=0,"",IF(O20+'Cost of Production'!$C$42-' LPI Calculator'!O21&lt;0,"-",SUM(O20+'Cost of Production'!$C$42-' LPI Calculator'!O21)))</f>
        <v>-</v>
      </c>
      <c r="P42" s="51" t="str">
        <f>IF(SUM(P10*($C$14/100))=0,"",IF(P20+'Cost of Production'!$C$42-' LPI Calculator'!P21&lt;0,"-",SUM(P20+'Cost of Production'!$C$42-' LPI Calculator'!P21)))</f>
        <v>-</v>
      </c>
      <c r="Q42" s="51" t="str">
        <f>IF(SUM(Q10*($C$14/100))=0,"",IF(Q20+'Cost of Production'!$C$42-' LPI Calculator'!Q21&lt;0,"-",SUM(Q20+'Cost of Production'!$C$42-' LPI Calculator'!Q21)))</f>
        <v>-</v>
      </c>
      <c r="R42" s="51" t="str">
        <f>IF(SUM(R10*($C$14/100))=0,"",IF(R20+'Cost of Production'!$C$42-' LPI Calculator'!R21&lt;0,"-",SUM(R20+'Cost of Production'!$C$42-' LPI Calculator'!R21)))</f>
        <v/>
      </c>
      <c r="S42" s="51" t="str">
        <f>IF(SUM(S10*($C$14/100))=0,"",IF(S20+'Cost of Production'!$C$42-' LPI Calculator'!S21&lt;0,"-",SUM(S20+'Cost of Production'!$C$42-' LPI Calculator'!S21)))</f>
        <v/>
      </c>
      <c r="T42" s="51" t="str">
        <f>IF(SUM(T10*($C$14/100))=0,"",IF(T20+'Cost of Production'!$C$42-' LPI Calculator'!T21&lt;0,"-",SUM(T20+'Cost of Production'!$C$42-' LPI Calculator'!T21)))</f>
        <v/>
      </c>
      <c r="U42" s="51" t="str">
        <f>IF(SUM(U10*($C$14/100))=0,"",IF(U20+'Cost of Production'!$C$42-' LPI Calculator'!U21&lt;0,"-",SUM(U20+'Cost of Production'!$C$42-' LPI Calculator'!U21)))</f>
        <v/>
      </c>
      <c r="V42" s="51" t="str">
        <f>IF(SUM(V10*($C$14/100))=0,"",IF(V20+'Cost of Production'!$C$42-' LPI Calculator'!V21&lt;0,"-",SUM(V20+'Cost of Production'!$C$42-' LPI Calculator'!V21)))</f>
        <v/>
      </c>
    </row>
    <row r="43" spans="1:27" x14ac:dyDescent="0.55000000000000004">
      <c r="B43" s="1" t="s">
        <v>50</v>
      </c>
      <c r="C43" s="40" t="str">
        <f>IF(SUM(C10*($C$14/100))=0,"",IF(C20+'Cost of Production'!$C$46-' LPI Calculator'!C21&lt;0,"-",SUM(C20+'Cost of Production'!$C$46-' LPI Calculator'!C21)))</f>
        <v>-</v>
      </c>
      <c r="D43" s="40" t="str">
        <f>IF(SUM(D10*($C$14/100))=0,"",IF(D20+'Cost of Production'!$C$46-' LPI Calculator'!D21&lt;0,"-",SUM(D20+'Cost of Production'!$C$46-' LPI Calculator'!D21)))</f>
        <v>-</v>
      </c>
      <c r="E43" s="40" t="str">
        <f>IF(SUM(E10*($C$14/100))=0,"",IF(E20+'Cost of Production'!$C$46-' LPI Calculator'!E21&lt;0,"-",SUM(E20+'Cost of Production'!$C$46-' LPI Calculator'!E21)))</f>
        <v>-</v>
      </c>
      <c r="F43" s="40" t="str">
        <f>IF(SUM(F10*($C$14/100))=0,"",IF(F20+'Cost of Production'!$C$46-' LPI Calculator'!F21&lt;0,"-",SUM(F20+'Cost of Production'!$C$46-' LPI Calculator'!F21)))</f>
        <v>-</v>
      </c>
      <c r="G43" s="40" t="str">
        <f>IF(SUM(G10*($C$14/100))=0,"",IF(G20+'Cost of Production'!$C$46-' LPI Calculator'!G21&lt;0,"-",SUM(G20+'Cost of Production'!$C$46-' LPI Calculator'!G21)))</f>
        <v>-</v>
      </c>
      <c r="H43" s="40" t="str">
        <f>IF(SUM(H10*($C$14/100))=0,"",IF(H20+'Cost of Production'!$C$46-' LPI Calculator'!H21&lt;0,"-",SUM(H20+'Cost of Production'!$C$46-' LPI Calculator'!H21)))</f>
        <v>-</v>
      </c>
      <c r="I43" s="40" t="str">
        <f>IF(SUM(I10*($C$14/100))=0,"",IF(I20+'Cost of Production'!$C$46-' LPI Calculator'!I21&lt;0,"-",SUM(I20+'Cost of Production'!$C$46-' LPI Calculator'!I21)))</f>
        <v>-</v>
      </c>
      <c r="J43" s="40" t="str">
        <f>IF(SUM(J10*($C$14/100))=0,"",IF(J20+'Cost of Production'!$C$46-' LPI Calculator'!J21&lt;0,"-",SUM(J20+'Cost of Production'!$C$46-' LPI Calculator'!J21)))</f>
        <v>-</v>
      </c>
      <c r="K43" s="40" t="str">
        <f>IF(SUM(K10*($C$14/100))=0,"",IF(K20+'Cost of Production'!$C$46-' LPI Calculator'!K21&lt;0,"-",SUM(K20+'Cost of Production'!$C$46-' LPI Calculator'!K21)))</f>
        <v>-</v>
      </c>
      <c r="L43" s="40" t="str">
        <f>IF(SUM(L10*($C$14/100))=0,"",IF(L20+'Cost of Production'!$C$46-' LPI Calculator'!L21&lt;0,"-",SUM(L20+'Cost of Production'!$C$46-' LPI Calculator'!L21)))</f>
        <v>-</v>
      </c>
      <c r="M43" s="40" t="str">
        <f>IF(SUM(M10*($C$14/100))=0,"",IF(M20+'Cost of Production'!$C$46-' LPI Calculator'!M21&lt;0,"-",SUM(M20+'Cost of Production'!$C$46-' LPI Calculator'!M21)))</f>
        <v>-</v>
      </c>
      <c r="N43" s="40" t="str">
        <f>IF(SUM(N10*($C$14/100))=0,"",IF(N20+'Cost of Production'!$C$46-' LPI Calculator'!N21&lt;0,"-",SUM(N20+'Cost of Production'!$C$46-' LPI Calculator'!N21)))</f>
        <v>-</v>
      </c>
      <c r="O43" s="40" t="str">
        <f>IF(SUM(O10*($C$14/100))=0,"",IF(O20+'Cost of Production'!$C$46-' LPI Calculator'!O21&lt;0,"-",SUM(O20+'Cost of Production'!$C$46-' LPI Calculator'!O21)))</f>
        <v>-</v>
      </c>
      <c r="P43" s="40" t="str">
        <f>IF(SUM(P10*($C$14/100))=0,"",IF(P20+'Cost of Production'!$C$46-' LPI Calculator'!P21&lt;0,"-",SUM(P20+'Cost of Production'!$C$46-' LPI Calculator'!P21)))</f>
        <v>-</v>
      </c>
      <c r="Q43" s="40" t="str">
        <f>IF(SUM(Q10*($C$14/100))=0,"",IF(Q20+'Cost of Production'!$C$46-' LPI Calculator'!Q21&lt;0,"-",SUM(Q20+'Cost of Production'!$C$46-' LPI Calculator'!Q21)))</f>
        <v>-</v>
      </c>
      <c r="R43" s="40" t="str">
        <f>IF(SUM(R10*($C$14/100))=0,"",IF(R20+'Cost of Production'!$C$46-' LPI Calculator'!R21&lt;0,"-",SUM(R20+'Cost of Production'!$C$46-' LPI Calculator'!R21)))</f>
        <v/>
      </c>
      <c r="S43" s="40" t="str">
        <f>IF(SUM(S10*($C$14/100))=0,"",IF(S20+'Cost of Production'!$C$46-' LPI Calculator'!S21&lt;0,"-",SUM(S20+'Cost of Production'!$C$46-' LPI Calculator'!S21)))</f>
        <v/>
      </c>
      <c r="T43" s="40" t="str">
        <f>IF(SUM(T10*($C$14/100))=0,"",IF(T20+'Cost of Production'!$C$46-' LPI Calculator'!T21&lt;0,"-",SUM(T20+'Cost of Production'!$C$46-' LPI Calculator'!T21)))</f>
        <v/>
      </c>
      <c r="U43" s="40" t="str">
        <f>IF(SUM(U10*($C$14/100))=0,"",IF(U20+'Cost of Production'!$C$46-' LPI Calculator'!U21&lt;0,"-",SUM(U20+'Cost of Production'!$C$46-' LPI Calculator'!U21)))</f>
        <v/>
      </c>
      <c r="V43" s="40" t="str">
        <f>IF(SUM(V10*($C$14/100))=0,"",IF(V20+'Cost of Production'!$C$46-' LPI Calculator'!V21&lt;0,"-",SUM(V20+'Cost of Production'!$C$46-' LPI Calculator'!V21)))</f>
        <v/>
      </c>
    </row>
    <row r="44" spans="1:27" ht="7.5" customHeight="1" x14ac:dyDescent="0.55000000000000004">
      <c r="C44" s="40"/>
      <c r="D44" s="40"/>
      <c r="E44" s="40"/>
      <c r="F44" s="40"/>
      <c r="G44" s="40"/>
      <c r="H44" s="40"/>
      <c r="I44" s="40"/>
      <c r="J44" s="40"/>
      <c r="K44" s="40"/>
      <c r="L44" s="40"/>
      <c r="M44" s="40"/>
      <c r="N44" s="40"/>
      <c r="O44" s="40"/>
      <c r="P44" s="40"/>
      <c r="Q44" s="40"/>
      <c r="R44" s="40"/>
      <c r="S44" s="40"/>
      <c r="T44" s="40"/>
      <c r="U44" s="40"/>
      <c r="V44" s="40"/>
    </row>
    <row r="45" spans="1:27" ht="17.7" x14ac:dyDescent="0.55000000000000004">
      <c r="A45" s="121" t="s">
        <v>118</v>
      </c>
      <c r="B45" s="121"/>
      <c r="C45" s="121"/>
      <c r="D45" s="121"/>
      <c r="E45" s="121"/>
      <c r="F45" s="121"/>
      <c r="G45" s="121"/>
      <c r="H45" s="121"/>
      <c r="I45" s="121"/>
      <c r="J45" s="121"/>
      <c r="K45" s="121"/>
      <c r="L45" s="121"/>
      <c r="M45" s="121"/>
      <c r="N45" s="121"/>
      <c r="O45" s="121"/>
      <c r="P45" s="121"/>
      <c r="Q45" s="121"/>
      <c r="R45" s="121"/>
      <c r="S45" s="121"/>
      <c r="T45" s="121"/>
      <c r="U45" s="121"/>
      <c r="V45" s="121"/>
      <c r="W45" s="1"/>
      <c r="X45" s="1"/>
      <c r="Y45" s="1"/>
      <c r="Z45" s="1"/>
      <c r="AA45" s="1"/>
    </row>
    <row r="46" spans="1:27" ht="7.5" customHeight="1" x14ac:dyDescent="0.55000000000000004">
      <c r="A46" s="44"/>
      <c r="B46" s="44"/>
      <c r="C46" s="44"/>
      <c r="D46" s="44"/>
      <c r="E46" s="44"/>
      <c r="F46" s="44"/>
      <c r="G46" s="44"/>
      <c r="H46" s="44"/>
      <c r="I46" s="44"/>
      <c r="J46" s="44"/>
      <c r="K46" s="44"/>
      <c r="L46" s="44"/>
      <c r="M46" s="44"/>
      <c r="N46" s="44"/>
      <c r="O46" s="44"/>
      <c r="P46" s="44"/>
      <c r="Q46" s="44"/>
      <c r="R46" s="44"/>
      <c r="S46" s="44"/>
      <c r="T46" s="44"/>
      <c r="U46" s="44"/>
      <c r="V46" s="44"/>
      <c r="W46" s="1"/>
      <c r="X46" s="1"/>
      <c r="Y46" s="1"/>
      <c r="Z46" s="1"/>
      <c r="AA46" s="1"/>
    </row>
    <row r="47" spans="1:27" x14ac:dyDescent="0.55000000000000004">
      <c r="A47" s="13" t="str">
        <f>"Marginal Returns (based on Est. Settlement Price @ $"&amp;I14&amp;"/cwt + LPI Payment per head)"</f>
        <v>Marginal Returns (based on Est. Settlement Price @ $325/cwt + LPI Payment per head)</v>
      </c>
      <c r="B47" s="13"/>
      <c r="C47" s="6"/>
      <c r="D47" s="6"/>
      <c r="E47" s="6"/>
      <c r="F47" s="6"/>
      <c r="G47" s="6"/>
      <c r="H47" s="6"/>
      <c r="I47" s="6"/>
      <c r="J47" s="6"/>
    </row>
    <row r="48" spans="1:27" x14ac:dyDescent="0.55000000000000004">
      <c r="A48" s="4"/>
      <c r="B48" s="5" t="s">
        <v>0</v>
      </c>
      <c r="C48" s="65">
        <f>IF(SUM(C10*($C$14/100))=0,"",IF(ROUND(C9-$I$14,1)&lt;1,(($I$14/100)*$C$14)-('Cost of Production'!$C$33+C20),((($I$14/100)*$C$14)+C36)-('Cost of Production'!$C$33+C20)))</f>
        <v>996.50129999999967</v>
      </c>
      <c r="D48" s="65">
        <f>IF(SUM(D10*($C$14/100))=0,"",IF(ROUND(D9-$I$14,1)&lt;1,(($I$14/100)*$C$14)-('Cost of Production'!$C$33+D20),((($I$14/100)*$C$14)+D36)-('Cost of Production'!$C$33+D20)))</f>
        <v>991.44129999999973</v>
      </c>
      <c r="E48" s="65">
        <f>IF(SUM(E10*($C$14/100))=0,"",IF(ROUND(E9-$I$14,1)&lt;1,(($I$14/100)*$C$14)-('Cost of Production'!$C$33+E20),((($I$14/100)*$C$14)+E36)-('Cost of Production'!$C$33+E20)))</f>
        <v>986.03629999999976</v>
      </c>
      <c r="F48" s="65">
        <f>IF(SUM(F10*($C$14/100))=0,"",IF(ROUND(F9-$I$14,1)&lt;1,(($I$14/100)*$C$14)-('Cost of Production'!$C$33+F20),((($I$14/100)*$C$14)+F36)-('Cost of Production'!$C$33+F20)))</f>
        <v>980.91879999999969</v>
      </c>
      <c r="G48" s="65">
        <f>IF(SUM(G10*($C$14/100))=0,"",IF(ROUND(G9-$I$14,1)&lt;1,(($I$14/100)*$C$14)-('Cost of Production'!$C$33+G20),((($I$14/100)*$C$14)+G36)-('Cost of Production'!$C$33+G20)))</f>
        <v>975.51379999999972</v>
      </c>
      <c r="H48" s="65">
        <f>IF(SUM(H10*($C$14/100))=0,"",IF(ROUND(H9-$I$14,1)&lt;1,(($I$14/100)*$C$14)-('Cost of Production'!$C$33+H20),((($I$14/100)*$C$14)+H36)-('Cost of Production'!$C$33+H20)))</f>
        <v>968.72879999999986</v>
      </c>
      <c r="I48" s="65">
        <f>IF(SUM(I10*($C$14/100))=0,"",IF(ROUND(I9-$I$14,1)&lt;1,(($I$14/100)*$C$14)-('Cost of Production'!$C$33+I20),((($I$14/100)*$C$14)+I36)-('Cost of Production'!$C$33+I20)))</f>
        <v>962.74879999999985</v>
      </c>
      <c r="J48" s="65">
        <f>IF(SUM(J10*($C$14/100))=0,"",IF(ROUND(J9-$I$14,1)&lt;1,(($I$14/100)*$C$14)-('Cost of Production'!$C$33+J20),((($I$14/100)*$C$14)+J36)-('Cost of Production'!$C$33+J20)))</f>
        <v>955.38879999999972</v>
      </c>
      <c r="K48" s="65">
        <f>IF(SUM(K10*($C$14/100))=0,"",IF(ROUND(K9-$I$14,1)&lt;1,(($I$14/100)*$C$14)-('Cost of Production'!$C$33+K20),((($I$14/100)*$C$14)+K36)-('Cost of Production'!$C$33+K20)))</f>
        <v>948.54629999999975</v>
      </c>
      <c r="L48" s="65">
        <f>IF(SUM(L10*($C$14/100))=0,"",IF(ROUND(L9-$I$14,1)&lt;1,(($I$14/100)*$C$14)-('Cost of Production'!$C$33+L20),((($I$14/100)*$C$14)+L36)-('Cost of Production'!$C$33+L20)))</f>
        <v>941.01379999999972</v>
      </c>
      <c r="M48" s="65">
        <f>IF(SUM(M10*($C$14/100))=0,"",IF(ROUND(M9-$I$14,1)&lt;1,(($I$14/100)*$C$14)-('Cost of Production'!$C$33+M20),((($I$14/100)*$C$14)+M36)-('Cost of Production'!$C$33+M20)))</f>
        <v>930.60629999999969</v>
      </c>
      <c r="N48" s="65">
        <f>IF(SUM(N10*($C$14/100))=0,"",IF(ROUND(N9-$I$14,1)&lt;1,(($I$14/100)*$C$14)-('Cost of Production'!$C$33+N20),((($I$14/100)*$C$14)+N36)-('Cost of Production'!$C$33+N20)))</f>
        <v>920.42879999999968</v>
      </c>
      <c r="O48" s="65">
        <f>IF(SUM(O10*($C$14/100))=0,"",IF(ROUND(O9-$I$14,1)&lt;1,(($I$14/100)*$C$14)-('Cost of Production'!$C$33+O20),((($I$14/100)*$C$14)+O36)-('Cost of Production'!$C$33+O20)))</f>
        <v>909.67629999999986</v>
      </c>
      <c r="P48" s="65">
        <f>IF(SUM(P10*($C$14/100))=0,"",IF(ROUND(P9-$I$14,1)&lt;1,(($I$14/100)*$C$14)-('Cost of Production'!$C$33+P20),((($I$14/100)*$C$14)+P36)-('Cost of Production'!$C$33+P20)))</f>
        <v>898.9237999999998</v>
      </c>
      <c r="Q48" s="65">
        <f>IF(SUM(Q10*($C$14/100))=0,"",IF(ROUND(Q9-$I$14,1)&lt;1,(($I$14/100)*$C$14)-('Cost of Production'!$C$33+Q20),((($I$14/100)*$C$14)+Q36)-('Cost of Production'!$C$33+Q20)))</f>
        <v>888.11379999999986</v>
      </c>
      <c r="R48" s="65" t="str">
        <f>IF(SUM(R10*($C$14/100))=0,"",IF(ROUND(R9-$I$14,1)&lt;1,(($I$14/100)*$C$14)-('Cost of Production'!$C$33+R20),((($I$14/100)*$C$14)+R36)-('Cost of Production'!$C$33+R20)))</f>
        <v/>
      </c>
      <c r="S48" s="65" t="str">
        <f>IF(SUM(S10*($C$14/100))=0,"",IF(ROUND(S9-$I$14,1)&lt;1,(($I$14/100)*$C$14)-('Cost of Production'!$C$33+S20),((($I$14/100)*$C$14)+S36)-('Cost of Production'!$C$33+S20)))</f>
        <v/>
      </c>
      <c r="T48" s="65" t="str">
        <f>IF(SUM(T10*($C$14/100))=0,"",IF(ROUND(T9-$I$14,1)&lt;1,(($I$14/100)*$C$14)-('Cost of Production'!$C$33+T20),((($I$14/100)*$C$14)+T36)-('Cost of Production'!$C$33+T20)))</f>
        <v/>
      </c>
      <c r="U48" s="65" t="str">
        <f>IF(SUM(U10*($C$14/100))=0,"",IF(ROUND(U9-$I$14,1)&lt;1,(($I$14/100)*$C$14)-('Cost of Production'!$C$33+U20),((($I$14/100)*$C$14)+U36)-('Cost of Production'!$C$33+U20)))</f>
        <v/>
      </c>
      <c r="V48" s="65" t="str">
        <f>IF(SUM(V10*($C$14/100))=0,"",IF(ROUND(V9-$I$14,1)&lt;1,(($I$14/100)*$C$14)-('Cost of Production'!$C$33+V20),((($I$14/100)*$C$14)+V36)-('Cost of Production'!$C$33+V20)))</f>
        <v/>
      </c>
    </row>
    <row r="49" spans="1:27" x14ac:dyDescent="0.55000000000000004">
      <c r="A49" s="4"/>
      <c r="B49" s="5" t="s">
        <v>1</v>
      </c>
      <c r="C49" s="65">
        <f>IF(SUM(C10*($C$14/100))=0,"",IF(ROUND(C9-$I$14,1)&lt;1,(($I$14/100)*$C$14)-('Cost of Production'!$C$33+'Cost of Production'!$C$44+C20),((($I$14/100)*$C$14)+C36)-('Cost of Production'!$C$33+'Cost of Production'!$C$44+C20)))</f>
        <v>834.50129999999967</v>
      </c>
      <c r="D49" s="65">
        <f>IF(SUM(D10*($C$14/100))=0,"",IF(ROUND(D9-$I$14,1)&lt;1,(($I$14/100)*$C$14)-('Cost of Production'!$C$33+'Cost of Production'!$C$44+D20),((($I$14/100)*$C$14)+D36)-('Cost of Production'!$C$33+'Cost of Production'!$C$44+D20)))</f>
        <v>829.44129999999973</v>
      </c>
      <c r="E49" s="65">
        <f>IF(SUM(E10*($C$14/100))=0,"",IF(ROUND(E9-$I$14,1)&lt;1,(($I$14/100)*$C$14)-('Cost of Production'!$C$33+'Cost of Production'!$C$44+E20),((($I$14/100)*$C$14)+E36)-('Cost of Production'!$C$33+'Cost of Production'!$C$44+E20)))</f>
        <v>824.03629999999976</v>
      </c>
      <c r="F49" s="65">
        <f>IF(SUM(F10*($C$14/100))=0,"",IF(ROUND(F9-$I$14,1)&lt;1,(($I$14/100)*$C$14)-('Cost of Production'!$C$33+'Cost of Production'!$C$44+F20),((($I$14/100)*$C$14)+F36)-('Cost of Production'!$C$33+'Cost of Production'!$C$44+F20)))</f>
        <v>818.91879999999969</v>
      </c>
      <c r="G49" s="65">
        <f>IF(SUM(G10*($C$14/100))=0,"",IF(ROUND(G9-$I$14,1)&lt;1,(($I$14/100)*$C$14)-('Cost of Production'!$C$33+'Cost of Production'!$C$44+G20),((($I$14/100)*$C$14)+G36)-('Cost of Production'!$C$33+'Cost of Production'!$C$44+G20)))</f>
        <v>813.51379999999972</v>
      </c>
      <c r="H49" s="65">
        <f>IF(SUM(H10*($C$14/100))=0,"",IF(ROUND(H9-$I$14,1)&lt;1,(($I$14/100)*$C$14)-('Cost of Production'!$C$33+'Cost of Production'!$C$44+H20),((($I$14/100)*$C$14)+H36)-('Cost of Production'!$C$33+'Cost of Production'!$C$44+H20)))</f>
        <v>806.72879999999986</v>
      </c>
      <c r="I49" s="65">
        <f>IF(SUM(I10*($C$14/100))=0,"",IF(ROUND(I9-$I$14,1)&lt;1,(($I$14/100)*$C$14)-('Cost of Production'!$C$33+'Cost of Production'!$C$44+I20),((($I$14/100)*$C$14)+I36)-('Cost of Production'!$C$33+'Cost of Production'!$C$44+I20)))</f>
        <v>800.74879999999985</v>
      </c>
      <c r="J49" s="65">
        <f>IF(SUM(J10*($C$14/100))=0,"",IF(ROUND(J9-$I$14,1)&lt;1,(($I$14/100)*$C$14)-('Cost of Production'!$C$33+'Cost of Production'!$C$44+J20),((($I$14/100)*$C$14)+J36)-('Cost of Production'!$C$33+'Cost of Production'!$C$44+J20)))</f>
        <v>793.38879999999972</v>
      </c>
      <c r="K49" s="65">
        <f>IF(SUM(K10*($C$14/100))=0,"",IF(ROUND(K9-$I$14,1)&lt;1,(($I$14/100)*$C$14)-('Cost of Production'!$C$33+'Cost of Production'!$C$44+K20),((($I$14/100)*$C$14)+K36)-('Cost of Production'!$C$33+'Cost of Production'!$C$44+K20)))</f>
        <v>786.54629999999975</v>
      </c>
      <c r="L49" s="65">
        <f>IF(SUM(L10*($C$14/100))=0,"",IF(ROUND(L9-$I$14,1)&lt;1,(($I$14/100)*$C$14)-('Cost of Production'!$C$33+'Cost of Production'!$C$44+L20),((($I$14/100)*$C$14)+L36)-('Cost of Production'!$C$33+'Cost of Production'!$C$44+L20)))</f>
        <v>779.01379999999972</v>
      </c>
      <c r="M49" s="65">
        <f>IF(SUM(M10*($C$14/100))=0,"",IF(ROUND(M9-$I$14,1)&lt;1,(($I$14/100)*$C$14)-('Cost of Production'!$C$33+'Cost of Production'!$C$44+M20),((($I$14/100)*$C$14)+M36)-('Cost of Production'!$C$33+'Cost of Production'!$C$44+M20)))</f>
        <v>768.60629999999969</v>
      </c>
      <c r="N49" s="65">
        <f>IF(SUM(N10*($C$14/100))=0,"",IF(ROUND(N9-$I$14,1)&lt;1,(($I$14/100)*$C$14)-('Cost of Production'!$C$33+'Cost of Production'!$C$44+N20),((($I$14/100)*$C$14)+N36)-('Cost of Production'!$C$33+'Cost of Production'!$C$44+N20)))</f>
        <v>758.42879999999968</v>
      </c>
      <c r="O49" s="65">
        <f>IF(SUM(O10*($C$14/100))=0,"",IF(ROUND(O9-$I$14,1)&lt;1,(($I$14/100)*$C$14)-('Cost of Production'!$C$33+'Cost of Production'!$C$44+O20),((($I$14/100)*$C$14)+O36)-('Cost of Production'!$C$33+'Cost of Production'!$C$44+O20)))</f>
        <v>747.67629999999986</v>
      </c>
      <c r="P49" s="65">
        <f>IF(SUM(P10*($C$14/100))=0,"",IF(ROUND(P9-$I$14,1)&lt;1,(($I$14/100)*$C$14)-('Cost of Production'!$C$33+'Cost of Production'!$C$44+P20),((($I$14/100)*$C$14)+P36)-('Cost of Production'!$C$33+'Cost of Production'!$C$44+P20)))</f>
        <v>736.9237999999998</v>
      </c>
      <c r="Q49" s="65">
        <f>IF(SUM(Q10*($C$14/100))=0,"",IF(ROUND(Q9-$I$14,1)&lt;1,(($I$14/100)*$C$14)-('Cost of Production'!$C$33+'Cost of Production'!$C$44+Q20),((($I$14/100)*$C$14)+Q36)-('Cost of Production'!$C$33+'Cost of Production'!$C$44+Q20)))</f>
        <v>726.11379999999986</v>
      </c>
      <c r="R49" s="65" t="str">
        <f>IF(SUM(R10*($C$14/100))=0,"",IF(ROUND(R9-$I$14,1)&lt;1,(($I$14/100)*$C$14)-('Cost of Production'!$C$33+'Cost of Production'!$C$44+R20),((($I$14/100)*$C$14)+R36)-('Cost of Production'!$C$33+'Cost of Production'!$C$44+R20)))</f>
        <v/>
      </c>
      <c r="S49" s="65" t="str">
        <f>IF(SUM(S10*($C$14/100))=0,"",IF(ROUND(S9-$I$14,1)&lt;1,(($I$14/100)*$C$14)-('Cost of Production'!$C$33+'Cost of Production'!$C$44+S20),((($I$14/100)*$C$14)+S36)-('Cost of Production'!$C$33+'Cost of Production'!$C$44+S20)))</f>
        <v/>
      </c>
      <c r="T49" s="65" t="str">
        <f>IF(SUM(T10*($C$14/100))=0,"",IF(ROUND(T9-$I$14,1)&lt;1,(($I$14/100)*$C$14)-('Cost of Production'!$C$33+'Cost of Production'!$C$44+T20),((($I$14/100)*$C$14)+T36)-('Cost of Production'!$C$33+'Cost of Production'!$C$44+T20)))</f>
        <v/>
      </c>
      <c r="U49" s="65" t="str">
        <f>IF(SUM(U10*($C$14/100))=0,"",IF(ROUND(U9-$I$14,1)&lt;1,(($I$14/100)*$C$14)-('Cost of Production'!$C$33+'Cost of Production'!$C$44+U20),((($I$14/100)*$C$14)+U36)-('Cost of Production'!$C$33+'Cost of Production'!$C$44+U20)))</f>
        <v/>
      </c>
      <c r="V49" s="65" t="str">
        <f>IF(SUM(V10*($C$14/100))=0,"",IF(ROUND(V9-$I$14,1)&lt;1,(($I$14/100)*$C$14)-('Cost of Production'!$C$33+'Cost of Production'!$C$44+V20),((($I$14/100)*$C$14)+V36)-('Cost of Production'!$C$33+'Cost of Production'!$C$44+V20)))</f>
        <v/>
      </c>
    </row>
    <row r="50" spans="1:27" x14ac:dyDescent="0.55000000000000004">
      <c r="A50" s="4"/>
      <c r="B50" s="5" t="s">
        <v>2</v>
      </c>
      <c r="C50" s="65">
        <f>IF(SUM(C10*($C$14/100))=0,"",IF(ROUND(C9-$I$14,1)&lt;1,(($I$14/100)*$C$14)-('Cost of Production'!$C$42+C20),((($I$14/100)*$C$14)+C36)-('Cost of Production'!$C$42+C20)))</f>
        <v>745.76129999999966</v>
      </c>
      <c r="D50" s="65">
        <f>IF(SUM(D10*($C$14/100))=0,"",IF(ROUND(D9-$I$14,1)&lt;1,(($I$14/100)*$C$14)-('Cost of Production'!$C$42+D20),((($I$14/100)*$C$14)+D36)-('Cost of Production'!$C$42+D20)))</f>
        <v>740.70129999999972</v>
      </c>
      <c r="E50" s="65">
        <f>IF(SUM(E10*($C$14/100))=0,"",IF(ROUND(E9-$I$14,1)&lt;1,(($I$14/100)*$C$14)-('Cost of Production'!$C$42+E20),((($I$14/100)*$C$14)+E36)-('Cost of Production'!$C$42+E20)))</f>
        <v>735.29629999999975</v>
      </c>
      <c r="F50" s="65">
        <f>IF(SUM(F10*($C$14/100))=0,"",IF(ROUND(F9-$I$14,1)&lt;1,(($I$14/100)*$C$14)-('Cost of Production'!$C$42+F20),((($I$14/100)*$C$14)+F36)-('Cost of Production'!$C$42+F20)))</f>
        <v>730.17879999999968</v>
      </c>
      <c r="G50" s="65">
        <f>IF(SUM(G10*($C$14/100))=0,"",IF(ROUND(G9-$I$14,1)&lt;1,(($I$14/100)*$C$14)-('Cost of Production'!$C$42+G20),((($I$14/100)*$C$14)+G36)-('Cost of Production'!$C$42+G20)))</f>
        <v>724.77379999999971</v>
      </c>
      <c r="H50" s="65">
        <f>IF(SUM(H10*($C$14/100))=0,"",IF(ROUND(H9-$I$14,1)&lt;1,(($I$14/100)*$C$14)-('Cost of Production'!$C$42+H20),((($I$14/100)*$C$14)+H36)-('Cost of Production'!$C$42+H20)))</f>
        <v>717.98879999999986</v>
      </c>
      <c r="I50" s="65">
        <f>IF(SUM(I10*($C$14/100))=0,"",IF(ROUND(I9-$I$14,1)&lt;1,(($I$14/100)*$C$14)-('Cost of Production'!$C$42+I20),((($I$14/100)*$C$14)+I36)-('Cost of Production'!$C$42+I20)))</f>
        <v>712.00879999999984</v>
      </c>
      <c r="J50" s="65">
        <f>IF(SUM(J10*($C$14/100))=0,"",IF(ROUND(J9-$I$14,1)&lt;1,(($I$14/100)*$C$14)-('Cost of Production'!$C$42+J20),((($I$14/100)*$C$14)+J36)-('Cost of Production'!$C$42+J20)))</f>
        <v>704.64879999999971</v>
      </c>
      <c r="K50" s="65">
        <f>IF(SUM(K10*($C$14/100))=0,"",IF(ROUND(K9-$I$14,1)&lt;1,(($I$14/100)*$C$14)-('Cost of Production'!$C$42+K20),((($I$14/100)*$C$14)+K36)-('Cost of Production'!$C$42+K20)))</f>
        <v>697.80629999999974</v>
      </c>
      <c r="L50" s="65">
        <f>IF(SUM(L10*($C$14/100))=0,"",IF(ROUND(L9-$I$14,1)&lt;1,(($I$14/100)*$C$14)-('Cost of Production'!$C$42+L20),((($I$14/100)*$C$14)+L36)-('Cost of Production'!$C$42+L20)))</f>
        <v>690.27379999999971</v>
      </c>
      <c r="M50" s="65">
        <f>IF(SUM(M10*($C$14/100))=0,"",IF(ROUND(M9-$I$14,1)&lt;1,(($I$14/100)*$C$14)-('Cost of Production'!$C$42+M20),((($I$14/100)*$C$14)+M36)-('Cost of Production'!$C$42+M20)))</f>
        <v>679.86629999999968</v>
      </c>
      <c r="N50" s="65">
        <f>IF(SUM(N10*($C$14/100))=0,"",IF(ROUND(N9-$I$14,1)&lt;1,(($I$14/100)*$C$14)-('Cost of Production'!$C$42+N20),((($I$14/100)*$C$14)+N36)-('Cost of Production'!$C$42+N20)))</f>
        <v>669.68879999999967</v>
      </c>
      <c r="O50" s="65">
        <f>IF(SUM(O10*($C$14/100))=0,"",IF(ROUND(O9-$I$14,1)&lt;1,(($I$14/100)*$C$14)-('Cost of Production'!$C$42+O20),((($I$14/100)*$C$14)+O36)-('Cost of Production'!$C$42+O20)))</f>
        <v>658.93629999999985</v>
      </c>
      <c r="P50" s="65">
        <f>IF(SUM(P10*($C$14/100))=0,"",IF(ROUND(P9-$I$14,1)&lt;1,(($I$14/100)*$C$14)-('Cost of Production'!$C$42+P20),((($I$14/100)*$C$14)+P36)-('Cost of Production'!$C$42+P20)))</f>
        <v>648.18379999999979</v>
      </c>
      <c r="Q50" s="65">
        <f>IF(SUM(Q10*($C$14/100))=0,"",IF(ROUND(Q9-$I$14,1)&lt;1,(($I$14/100)*$C$14)-('Cost of Production'!$C$42+Q20),((($I$14/100)*$C$14)+Q36)-('Cost of Production'!$C$42+Q20)))</f>
        <v>637.37379999999985</v>
      </c>
      <c r="R50" s="65" t="str">
        <f>IF(SUM(R10*($C$14/100))=0,"",IF(ROUND(R9-$I$14,1)&lt;1,(($I$14/100)*$C$14)-('Cost of Production'!$C$42+R20),((($I$14/100)*$C$14)+R36)-('Cost of Production'!$C$42+R20)))</f>
        <v/>
      </c>
      <c r="S50" s="65" t="str">
        <f>IF(SUM(S10*($C$14/100))=0,"",IF(ROUND(S9-$I$14,1)&lt;1,(($I$14/100)*$C$14)-('Cost of Production'!$C$42+S20),((($I$14/100)*$C$14)+S36)-('Cost of Production'!$C$42+S20)))</f>
        <v/>
      </c>
      <c r="T50" s="65" t="str">
        <f>IF(SUM(T10*($C$14/100))=0,"",IF(ROUND(T9-$I$14,1)&lt;1,(($I$14/100)*$C$14)-('Cost of Production'!$C$42+T20),((($I$14/100)*$C$14)+T36)-('Cost of Production'!$C$42+T20)))</f>
        <v/>
      </c>
      <c r="U50" s="65" t="str">
        <f>IF(SUM(U10*($C$14/100))=0,"",IF(ROUND(U9-$I$14,1)&lt;1,(($I$14/100)*$C$14)-('Cost of Production'!$C$42+U20),((($I$14/100)*$C$14)+U36)-('Cost of Production'!$C$42+U20)))</f>
        <v/>
      </c>
      <c r="V50" s="65" t="str">
        <f>IF(SUM(V10*($C$14/100))=0,"",IF(ROUND(V9-$I$14,1)&lt;1,(($I$14/100)*$C$14)-('Cost of Production'!$C$42+V20),((($I$14/100)*$C$14)+V36)-('Cost of Production'!$C$42+V20)))</f>
        <v/>
      </c>
    </row>
    <row r="51" spans="1:27" x14ac:dyDescent="0.55000000000000004">
      <c r="A51" s="4"/>
      <c r="B51" s="13" t="s">
        <v>3</v>
      </c>
      <c r="C51" s="66">
        <f>IF(SUM(C10*($C$14/100))=0,"",IF(ROUND(C9-$I$14,1)&lt;1,(($I$14/100)*$C$14)-('Cost of Production'!$C$46+C20),((($I$14/100)*$C$14)+C36)-('Cost of Production'!$C$46+C20)))</f>
        <v>583.76129999999966</v>
      </c>
      <c r="D51" s="66">
        <f>IF(SUM(D10*($C$14/100))=0,"",IF(ROUND(D9-$I$14,1)&lt;1,(($I$14/100)*$C$14)-('Cost of Production'!$C$46+D20),((($I$14/100)*$C$14)+D36)-('Cost of Production'!$C$46+D20)))</f>
        <v>578.70129999999972</v>
      </c>
      <c r="E51" s="66">
        <f>IF(SUM(E10*($C$14/100))=0,"",IF(ROUND(E9-$I$14,1)&lt;1,(($I$14/100)*$C$14)-('Cost of Production'!$C$46+E20),((($I$14/100)*$C$14)+E36)-('Cost of Production'!$C$46+E20)))</f>
        <v>573.29629999999975</v>
      </c>
      <c r="F51" s="66">
        <f>IF(SUM(F10*($C$14/100))=0,"",IF(ROUND(F9-$I$14,1)&lt;1,(($I$14/100)*$C$14)-('Cost of Production'!$C$46+F20),((($I$14/100)*$C$14)+F36)-('Cost of Production'!$C$46+F20)))</f>
        <v>568.17879999999968</v>
      </c>
      <c r="G51" s="66">
        <f>IF(SUM(G10*($C$14/100))=0,"",IF(ROUND(G9-$I$14,1)&lt;1,(($I$14/100)*$C$14)-('Cost of Production'!$C$46+G20),((($I$14/100)*$C$14)+G36)-('Cost of Production'!$C$46+G20)))</f>
        <v>562.77379999999971</v>
      </c>
      <c r="H51" s="66">
        <f>IF(SUM(H10*($C$14/100))=0,"",IF(ROUND(H9-$I$14,1)&lt;1,(($I$14/100)*$C$14)-('Cost of Production'!$C$46+H20),((($I$14/100)*$C$14)+H36)-('Cost of Production'!$C$46+H20)))</f>
        <v>555.98879999999986</v>
      </c>
      <c r="I51" s="66">
        <f>IF(SUM(I10*($C$14/100))=0,"",IF(ROUND(I9-$I$14,1)&lt;1,(($I$14/100)*$C$14)-('Cost of Production'!$C$46+I20),((($I$14/100)*$C$14)+I36)-('Cost of Production'!$C$46+I20)))</f>
        <v>550.00879999999984</v>
      </c>
      <c r="J51" s="66">
        <f>IF(SUM(J10*($C$14/100))=0,"",IF(ROUND(J9-$I$14,1)&lt;1,(($I$14/100)*$C$14)-('Cost of Production'!$C$46+J20),((($I$14/100)*$C$14)+J36)-('Cost of Production'!$C$46+J20)))</f>
        <v>542.64879999999971</v>
      </c>
      <c r="K51" s="66">
        <f>IF(SUM(K10*($C$14/100))=0,"",IF(ROUND(K9-$I$14,1)&lt;1,(($I$14/100)*$C$14)-('Cost of Production'!$C$46+K20),((($I$14/100)*$C$14)+K36)-('Cost of Production'!$C$46+K20)))</f>
        <v>535.80629999999974</v>
      </c>
      <c r="L51" s="66">
        <f>IF(SUM(L10*($C$14/100))=0,"",IF(ROUND(L9-$I$14,1)&lt;1,(($I$14/100)*$C$14)-('Cost of Production'!$C$46+L20),((($I$14/100)*$C$14)+L36)-('Cost of Production'!$C$46+L20)))</f>
        <v>528.27379999999971</v>
      </c>
      <c r="M51" s="66">
        <f>IF(SUM(M10*($C$14/100))=0,"",IF(ROUND(M9-$I$14,1)&lt;1,(($I$14/100)*$C$14)-('Cost of Production'!$C$46+M20),((($I$14/100)*$C$14)+M36)-('Cost of Production'!$C$46+M20)))</f>
        <v>517.86629999999968</v>
      </c>
      <c r="N51" s="66">
        <f>IF(SUM(N10*($C$14/100))=0,"",IF(ROUND(N9-$I$14,1)&lt;1,(($I$14/100)*$C$14)-('Cost of Production'!$C$46+N20),((($I$14/100)*$C$14)+N36)-('Cost of Production'!$C$46+N20)))</f>
        <v>507.68879999999967</v>
      </c>
      <c r="O51" s="66">
        <f>IF(SUM(O10*($C$14/100))=0,"",IF(ROUND(O9-$I$14,1)&lt;1,(($I$14/100)*$C$14)-('Cost of Production'!$C$46+O20),((($I$14/100)*$C$14)+O36)-('Cost of Production'!$C$46+O20)))</f>
        <v>496.93629999999985</v>
      </c>
      <c r="P51" s="66">
        <f>IF(SUM(P10*($C$14/100))=0,"",IF(ROUND(P9-$I$14,1)&lt;1,(($I$14/100)*$C$14)-('Cost of Production'!$C$46+P20),((($I$14/100)*$C$14)+P36)-('Cost of Production'!$C$46+P20)))</f>
        <v>486.18379999999979</v>
      </c>
      <c r="Q51" s="66">
        <f>IF(SUM(Q10*($C$14/100))=0,"",IF(ROUND(Q9-$I$14,1)&lt;1,(($I$14/100)*$C$14)-('Cost of Production'!$C$46+Q20),((($I$14/100)*$C$14)+Q36)-('Cost of Production'!$C$46+Q20)))</f>
        <v>475.37379999999985</v>
      </c>
      <c r="R51" s="66" t="str">
        <f>IF(SUM(R10*($C$14/100))=0,"",IF(ROUND(R9-$I$14,1)&lt;1,(($I$14/100)*$C$14)-('Cost of Production'!$C$46+R20),((($I$14/100)*$C$14)+R36)-('Cost of Production'!$C$46+R20)))</f>
        <v/>
      </c>
      <c r="S51" s="66" t="str">
        <f>IF(SUM(S10*($C$14/100))=0,"",IF(ROUND(S9-$I$14,1)&lt;1,(($I$14/100)*$C$14)-('Cost of Production'!$C$46+S20),((($I$14/100)*$C$14)+S36)-('Cost of Production'!$C$46+S20)))</f>
        <v/>
      </c>
      <c r="T51" s="66" t="str">
        <f>IF(SUM(T10*($C$14/100))=0,"",IF(ROUND(T9-$I$14,1)&lt;1,(($I$14/100)*$C$14)-('Cost of Production'!$C$46+T20),((($I$14/100)*$C$14)+T36)-('Cost of Production'!$C$46+T20)))</f>
        <v/>
      </c>
      <c r="U51" s="66" t="str">
        <f>IF(SUM(U10*($C$14/100))=0,"",IF(ROUND(U9-$I$14,1)&lt;1,(($I$14/100)*$C$14)-('Cost of Production'!$C$46+U20),((($I$14/100)*$C$14)+U36)-('Cost of Production'!$C$46+U20)))</f>
        <v/>
      </c>
      <c r="V51" s="66" t="str">
        <f>IF(SUM(V10*($C$14/100))=0,"",IF(ROUND(V9-$I$14,1)&lt;1,(($I$14/100)*$C$14)-('Cost of Production'!$C$46+V20),((($I$14/100)*$C$14)+V36)-('Cost of Production'!$C$46+V20)))</f>
        <v/>
      </c>
    </row>
    <row r="52" spans="1:27" ht="7.5" customHeight="1" x14ac:dyDescent="0.55000000000000004">
      <c r="B52" s="8"/>
    </row>
    <row r="53" spans="1:27" ht="17.7" x14ac:dyDescent="0.55000000000000004">
      <c r="A53" s="121" t="s">
        <v>117</v>
      </c>
      <c r="B53" s="121"/>
      <c r="C53" s="121"/>
      <c r="D53" s="121"/>
      <c r="E53" s="121"/>
      <c r="F53" s="121"/>
      <c r="G53" s="121"/>
      <c r="H53" s="121"/>
      <c r="I53" s="121"/>
      <c r="J53" s="121"/>
      <c r="K53" s="121"/>
      <c r="L53" s="121"/>
      <c r="M53" s="121"/>
      <c r="N53" s="121"/>
      <c r="O53" s="121"/>
      <c r="P53" s="121"/>
      <c r="Q53" s="121"/>
      <c r="R53" s="121"/>
      <c r="S53" s="121"/>
      <c r="T53" s="121"/>
      <c r="U53" s="121"/>
      <c r="V53" s="121"/>
      <c r="W53" s="1"/>
      <c r="X53" s="1"/>
      <c r="Y53" s="1"/>
      <c r="Z53" s="1"/>
      <c r="AA53" s="1"/>
    </row>
    <row r="54" spans="1:27" ht="7.5" customHeight="1" x14ac:dyDescent="0.55000000000000004">
      <c r="A54" s="44"/>
      <c r="B54" s="44"/>
      <c r="C54" s="44"/>
      <c r="D54" s="44"/>
      <c r="E54" s="44"/>
      <c r="F54" s="44"/>
      <c r="G54" s="44"/>
      <c r="H54" s="44"/>
      <c r="I54" s="44"/>
      <c r="J54" s="44"/>
      <c r="K54" s="44"/>
      <c r="L54" s="44"/>
      <c r="M54" s="44"/>
      <c r="N54" s="44"/>
      <c r="O54" s="44"/>
      <c r="P54" s="44"/>
      <c r="Q54" s="44"/>
      <c r="R54" s="44"/>
      <c r="S54" s="44"/>
      <c r="T54" s="44"/>
      <c r="U54" s="44"/>
      <c r="V54" s="44"/>
      <c r="W54" s="1"/>
      <c r="X54" s="1"/>
      <c r="Y54" s="1"/>
      <c r="Z54" s="1"/>
      <c r="AA54" s="1"/>
    </row>
    <row r="55" spans="1:27" ht="15.75" customHeight="1" x14ac:dyDescent="0.55000000000000004">
      <c r="A55" s="70" t="str">
        <f>"Premium Cost ($/head) = Insured Weight (cwt) x Premium ($/cwt)   (eg. ("&amp;C14&amp;"lbs /100) x $"&amp;J10&amp;" = $"&amp;TEXT(J20,"0.00")&amp;")"</f>
        <v>Premium Cost ($/head) = Insured Weight (cwt) x Premium ($/cwt)   (eg. (575lbs /100) x $4.87 = $28.00)</v>
      </c>
      <c r="B55" s="8"/>
      <c r="P55" s="2"/>
      <c r="R55" s="109" t="s">
        <v>103</v>
      </c>
      <c r="S55" s="62">
        <v>356</v>
      </c>
      <c r="T55" s="5" t="s">
        <v>70</v>
      </c>
      <c r="U55" s="2"/>
    </row>
    <row r="56" spans="1:27" ht="15.75" customHeight="1" x14ac:dyDescent="0.55000000000000004">
      <c r="A56" s="70" t="str">
        <f>"Insured Value ($/head) = Insured Index ($/cwt) x Insured Weight (cwt)   (eg. $"&amp;J9&amp;" x ("&amp;C14&amp;"lbs/100) = $"&amp;J21&amp;")"</f>
        <v>Insured Value ($/head) = Insured Index ($/cwt) x Insured Weight (cwt)   (eg. $378 x (575lbs/100) = $2173.5)</v>
      </c>
      <c r="B56" s="8"/>
      <c r="Q56" s="72" t="s">
        <v>104</v>
      </c>
    </row>
    <row r="57" spans="1:27" ht="15.75" customHeight="1" x14ac:dyDescent="0.55000000000000004">
      <c r="A57" s="70" t="str">
        <f>"Premium Cost (% of Insured Value) = Premium Cost ($/head) / Insured Value ($/head)   (eg. $"&amp;TEXT(J20,"0.00")&amp;" / $"&amp;J21&amp;" = "&amp;ROUND(J23*100,2)&amp;"%),2"</f>
        <v>Premium Cost (% of Insured Value) = Premium Cost ($/head) / Insured Value ($/head)   (eg. $28.00 / $2173.5 = 1.29%),2</v>
      </c>
      <c r="B57" s="8"/>
    </row>
    <row r="58" spans="1:27" ht="15.75" customHeight="1" x14ac:dyDescent="0.55000000000000004">
      <c r="A58" s="70" t="str">
        <f>"Incremental Coverage Cost (per $1 of Inc. Coverage) = (Premium Cost  - Premium Cost (lower level) / (Insured Value - Insured Value (lower level))   (eg. ($"&amp;TEXT(J20,"0.00")&amp;" - $"&amp;TEXT(K20,"0.00")&amp;") / ($"&amp;J21&amp;" - $"&amp;K21&amp;") = $"&amp;TEXT(J31,"#.##")&amp;")"</f>
        <v>Incremental Coverage Cost (per $1 of Inc. Coverage) = (Premium Cost  - Premium Cost (lower level) / (Insured Value - Insured Value (lower level))   (eg. ($28.00 - $23.35) / ($2173.5 - $2162) = $.41)</v>
      </c>
      <c r="B58" s="8"/>
    </row>
    <row r="59" spans="1:27" ht="15.75" customHeight="1" x14ac:dyDescent="0.55000000000000004">
      <c r="A59" s="70" t="str">
        <f>"LPI Payment ($/head) = (Insured Index ($/cwt) - Estimated Settlement Price ($/cwt))) x (Insured  Weight (lbs)/100)     (eg. ($"&amp;J9&amp;" - $"&amp;$I$14&amp;") x ("&amp;$C$14&amp;" lbs/100) = $"&amp;J36&amp;")"</f>
        <v>LPI Payment ($/head) = (Insured Index ($/cwt) - Estimated Settlement Price ($/cwt))) x (Insured  Weight (lbs)/100)     (eg. ($378 - $325) x (575 lbs/100) = $304.75)</v>
      </c>
      <c r="B59" s="8"/>
    </row>
    <row r="60" spans="1:27" ht="15.75" customHeight="1" x14ac:dyDescent="0.55000000000000004">
      <c r="A60" s="70" t="str">
        <f>"Cost Not Covered by LPI Insured Value ($/head) =  Cost of Production ($/head) + LPI Premium ($/head) - LPI Insured Value ($/head)   (eg. $"&amp;ROUND('Cost of Production'!$C$46,0)&amp;" + $"&amp;TEXT(J20,"0.00")&amp;" - $"&amp;J21&amp;" = $"&amp;ROUND(IF(J20+'Cost of Production'!$C$46-' LPI Calculator'!J21&lt;0,0,SUM(J20+'Cost of Production'!$C$46-' LPI Calculator'!J21)),2)&amp;")"</f>
        <v>Cost Not Covered by LPI Insured Value ($/head) =  Cost of Production ($/head) + LPI Premium ($/head) - LPI Insured Value ($/head)   (eg. $1603 + $28.00 - $2173.5 = $0)</v>
      </c>
      <c r="B60" s="8"/>
    </row>
    <row r="61" spans="1:27" ht="15.75" customHeight="1" x14ac:dyDescent="0.55000000000000004">
      <c r="A61" s="70" t="str">
        <f>"Marginal Return ($/head) = ((Est. Settlement Price ($/cwt) x (Insured Weight (lbs) / 100)) + LPI Payment ($/head) - (Costs ($/head) + LPI Premium($/head)))   (eg. (($"&amp;$I$14&amp;" x ("&amp;$C$14&amp;" lbs/100)) + $"&amp;ROUND(G36,0)&amp;" - ($"&amp;ROUND('Cost of Production'!$C$46,0)&amp;" + $"&amp;TEXT(G20,"0.00")&amp;") = $"&amp;TEXT(G51,"0.00")&amp;")"</f>
        <v>Marginal Return ($/head) = ((Est. Settlement Price ($/cwt) x (Insured Weight (lbs) / 100)) + LPI Payment ($/head) - (Costs ($/head) + LPI Premium($/head)))   (eg. (($325 x (575 lbs/100)) + $339 - ($1603 + $42.38) = $562.77)</v>
      </c>
      <c r="B61" s="8"/>
    </row>
    <row r="62" spans="1:27" ht="7.5" customHeight="1" x14ac:dyDescent="0.55000000000000004">
      <c r="A62" s="67"/>
    </row>
    <row r="63" spans="1:27" ht="17.7" x14ac:dyDescent="0.55000000000000004">
      <c r="A63" s="120"/>
      <c r="B63" s="120"/>
      <c r="C63" s="120"/>
      <c r="D63" s="120"/>
      <c r="E63" s="120"/>
      <c r="F63" s="120"/>
      <c r="G63" s="120"/>
      <c r="H63" s="120"/>
      <c r="I63" s="120"/>
      <c r="J63" s="120"/>
      <c r="K63" s="120"/>
      <c r="L63" s="120"/>
      <c r="M63" s="120"/>
      <c r="N63" s="120"/>
      <c r="O63" s="120"/>
      <c r="P63" s="120"/>
      <c r="Q63" s="120"/>
      <c r="R63" s="120"/>
      <c r="S63" s="120"/>
      <c r="T63" s="120"/>
      <c r="U63" s="120"/>
      <c r="V63" s="120"/>
      <c r="W63" s="1"/>
      <c r="X63" s="1"/>
      <c r="Y63" s="1"/>
      <c r="Z63" s="1"/>
      <c r="AA63" s="1"/>
    </row>
    <row r="64" spans="1:27" ht="7.5" customHeight="1" x14ac:dyDescent="0.55000000000000004"/>
    <row r="109" spans="1:22" s="16" customFormat="1" ht="12.75" customHeight="1" x14ac:dyDescent="0.5">
      <c r="A109" s="45" t="s">
        <v>15</v>
      </c>
      <c r="B109" s="45"/>
      <c r="C109" s="45"/>
      <c r="D109" s="45"/>
      <c r="E109" s="45"/>
      <c r="F109" s="45"/>
      <c r="G109" s="45"/>
      <c r="H109" s="45"/>
      <c r="I109" s="45"/>
      <c r="J109" s="45"/>
      <c r="K109" s="45"/>
    </row>
    <row r="110" spans="1:22" s="16" customFormat="1" ht="7.5" customHeight="1" x14ac:dyDescent="0.5">
      <c r="A110" s="53"/>
      <c r="B110" s="53"/>
      <c r="C110" s="53"/>
      <c r="D110" s="53"/>
      <c r="E110" s="53"/>
      <c r="F110" s="53"/>
      <c r="G110" s="53"/>
      <c r="H110" s="53"/>
      <c r="I110" s="53"/>
      <c r="J110" s="53"/>
      <c r="K110" s="53"/>
      <c r="L110" s="53"/>
      <c r="M110" s="53"/>
      <c r="N110" s="53"/>
      <c r="O110" s="53"/>
      <c r="P110" s="53"/>
      <c r="Q110" s="53"/>
      <c r="R110" s="53"/>
      <c r="S110" s="23"/>
      <c r="T110" s="23"/>
      <c r="U110" s="23"/>
      <c r="V110" s="23"/>
    </row>
    <row r="111" spans="1:22" s="16" customFormat="1" ht="18" customHeight="1" x14ac:dyDescent="0.5">
      <c r="A111" s="118"/>
      <c r="B111" s="119"/>
      <c r="C111" s="119"/>
      <c r="D111" s="119"/>
      <c r="E111" s="119"/>
      <c r="F111" s="119"/>
      <c r="V111" s="117" t="s">
        <v>166</v>
      </c>
    </row>
  </sheetData>
  <sheetProtection sheet="1" objects="1" scenarios="1"/>
  <mergeCells count="8">
    <mergeCell ref="A63:V63"/>
    <mergeCell ref="A18:V18"/>
    <mergeCell ref="C8:V8"/>
    <mergeCell ref="A5:V5"/>
    <mergeCell ref="A45:V45"/>
    <mergeCell ref="A53:V53"/>
    <mergeCell ref="A12:V12"/>
    <mergeCell ref="A33:V33"/>
  </mergeCells>
  <dataValidations count="2">
    <dataValidation type="list" allowBlank="1" showInputMessage="1" showErrorMessage="1" sqref="G7" xr:uid="{00000000-0002-0000-0000-000000000000}">
      <formula1>$BB$4:$BM$4</formula1>
    </dataValidation>
    <dataValidation type="list" allowBlank="1" showInputMessage="1" showErrorMessage="1" sqref="H7" xr:uid="{00000000-0002-0000-0000-000001000000}">
      <formula1>$BB$5:$CF$5</formula1>
    </dataValidation>
  </dataValidations>
  <printOptions horizontalCentered="1"/>
  <pageMargins left="0.35433070866141736" right="0.35433070866141736" top="0.39370078740157483" bottom="0.39370078740157483" header="0.51181102362204722" footer="0.51181102362204722"/>
  <pageSetup paperSize="5" scale="61" firstPageNumber="3" fitToHeight="2" pageOrder="overThenDown" orientation="landscape" useFirstPageNumber="1" r:id="rId1"/>
  <headerFooter scaleWithDoc="0" alignWithMargins="0">
    <oddFooter>&amp;R&amp;9Manitoba Agriculture, Farm Management</oddFooter>
  </headerFooter>
  <rowBreaks count="1" manualBreakCount="1">
    <brk id="62" max="21" man="1"/>
  </rowBreaks>
  <ignoredErrors>
    <ignoredError sqref="C1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2:O102"/>
  <sheetViews>
    <sheetView zoomScaleNormal="100" workbookViewId="0">
      <selection activeCell="D1" sqref="D1"/>
    </sheetView>
  </sheetViews>
  <sheetFormatPr defaultColWidth="8.90625" defaultRowHeight="12.3" x14ac:dyDescent="0.4"/>
  <cols>
    <col min="1" max="2" width="2.81640625" style="107" customWidth="1"/>
    <col min="3" max="6" width="10.6328125" style="107" customWidth="1"/>
    <col min="7" max="7" width="14.453125" style="107" customWidth="1"/>
    <col min="8" max="10" width="10.6328125" style="107" customWidth="1"/>
    <col min="11" max="11" width="8.90625" style="107"/>
    <col min="12" max="16384" width="8.90625" style="8"/>
  </cols>
  <sheetData>
    <row r="2" spans="1:11" ht="19.5" customHeight="1" x14ac:dyDescent="0.4"/>
    <row r="3" spans="1:11" s="101" customFormat="1" ht="20.25" customHeight="1" x14ac:dyDescent="0.5">
      <c r="A3" s="130" t="s">
        <v>137</v>
      </c>
      <c r="B3" s="130"/>
      <c r="C3" s="130"/>
      <c r="D3" s="130"/>
      <c r="E3" s="130"/>
      <c r="F3" s="130"/>
      <c r="G3" s="130"/>
      <c r="H3" s="130"/>
      <c r="I3" s="130"/>
      <c r="J3" s="130"/>
      <c r="K3" s="100"/>
    </row>
    <row r="4" spans="1:11" s="101" customFormat="1" ht="15.75" customHeight="1" x14ac:dyDescent="0.5">
      <c r="A4" s="126" t="s">
        <v>136</v>
      </c>
      <c r="B4" s="126"/>
      <c r="C4" s="126"/>
      <c r="D4" s="126"/>
      <c r="E4" s="126"/>
      <c r="F4" s="126"/>
      <c r="G4" s="126"/>
      <c r="H4" s="126"/>
      <c r="I4" s="126"/>
      <c r="J4" s="126"/>
      <c r="K4" s="100"/>
    </row>
    <row r="5" spans="1:11" s="101" customFormat="1" ht="15.75" customHeight="1" x14ac:dyDescent="0.5">
      <c r="A5" s="126"/>
      <c r="B5" s="126"/>
      <c r="C5" s="126"/>
      <c r="D5" s="126"/>
      <c r="E5" s="126"/>
      <c r="F5" s="126"/>
      <c r="G5" s="126"/>
      <c r="H5" s="126"/>
      <c r="I5" s="126"/>
      <c r="J5" s="126"/>
      <c r="K5" s="100"/>
    </row>
    <row r="6" spans="1:11" s="101" customFormat="1" ht="15.75" customHeight="1" x14ac:dyDescent="0.5">
      <c r="A6" s="126"/>
      <c r="B6" s="126"/>
      <c r="C6" s="126"/>
      <c r="D6" s="126"/>
      <c r="E6" s="126"/>
      <c r="F6" s="126"/>
      <c r="G6" s="126"/>
      <c r="H6" s="126"/>
      <c r="I6" s="126"/>
      <c r="J6" s="126"/>
      <c r="K6" s="100"/>
    </row>
    <row r="7" spans="1:11" s="101" customFormat="1" ht="7.5" customHeight="1" x14ac:dyDescent="0.5">
      <c r="A7" s="102"/>
      <c r="B7" s="102"/>
      <c r="C7" s="102"/>
      <c r="D7" s="102"/>
      <c r="E7" s="102"/>
      <c r="F7" s="102"/>
      <c r="G7" s="102"/>
      <c r="H7" s="102"/>
      <c r="I7" s="102"/>
      <c r="J7" s="102"/>
      <c r="K7" s="100"/>
    </row>
    <row r="8" spans="1:11" s="104" customFormat="1" ht="15.75" customHeight="1" x14ac:dyDescent="0.5">
      <c r="A8" s="75" t="s">
        <v>138</v>
      </c>
      <c r="B8" s="75"/>
      <c r="C8" s="75"/>
      <c r="D8" s="75"/>
      <c r="E8" s="75"/>
      <c r="F8" s="103"/>
      <c r="G8" s="103"/>
      <c r="H8" s="103"/>
      <c r="I8" s="103"/>
      <c r="J8" s="103"/>
      <c r="K8" s="103"/>
    </row>
    <row r="9" spans="1:11" s="104" customFormat="1" ht="15.75" customHeight="1" x14ac:dyDescent="0.5">
      <c r="A9" s="110"/>
      <c r="B9" s="125" t="s">
        <v>139</v>
      </c>
      <c r="C9" s="125"/>
      <c r="D9" s="125"/>
      <c r="E9" s="110"/>
      <c r="F9" s="103"/>
      <c r="G9" s="103"/>
      <c r="H9" s="103"/>
      <c r="I9" s="103"/>
      <c r="J9" s="103"/>
      <c r="K9" s="103"/>
    </row>
    <row r="10" spans="1:11" s="104" customFormat="1" ht="15.75" customHeight="1" x14ac:dyDescent="0.5">
      <c r="A10" s="105"/>
      <c r="B10" s="123" t="s">
        <v>105</v>
      </c>
      <c r="C10" s="123"/>
      <c r="D10" s="123"/>
      <c r="E10" s="123"/>
      <c r="F10" s="103"/>
      <c r="G10" s="103"/>
      <c r="H10" s="103"/>
      <c r="I10" s="103"/>
      <c r="J10" s="103"/>
      <c r="K10" s="103"/>
    </row>
    <row r="11" spans="1:11" s="101" customFormat="1" ht="15.75" customHeight="1" x14ac:dyDescent="0.5">
      <c r="A11" s="100"/>
      <c r="B11" s="100"/>
      <c r="C11" s="126" t="s">
        <v>140</v>
      </c>
      <c r="D11" s="126"/>
      <c r="E11" s="126"/>
      <c r="F11" s="126"/>
      <c r="G11" s="126"/>
      <c r="H11" s="126"/>
      <c r="I11" s="126"/>
      <c r="J11" s="126"/>
      <c r="K11" s="100"/>
    </row>
    <row r="12" spans="1:11" s="101" customFormat="1" ht="15.75" customHeight="1" x14ac:dyDescent="0.5">
      <c r="A12" s="100"/>
      <c r="B12" s="100"/>
      <c r="C12" s="126"/>
      <c r="D12" s="126"/>
      <c r="E12" s="126"/>
      <c r="F12" s="126"/>
      <c r="G12" s="126"/>
      <c r="H12" s="126"/>
      <c r="I12" s="126"/>
      <c r="J12" s="126"/>
      <c r="K12" s="100"/>
    </row>
    <row r="13" spans="1:11" s="101" customFormat="1" ht="15.75" customHeight="1" x14ac:dyDescent="0.5">
      <c r="A13" s="100"/>
      <c r="B13" s="100"/>
      <c r="C13" s="106"/>
      <c r="D13" s="106"/>
      <c r="E13" s="106"/>
      <c r="F13" s="106"/>
      <c r="G13" s="106"/>
      <c r="H13" s="106"/>
      <c r="I13" s="106"/>
      <c r="J13" s="106"/>
      <c r="K13" s="100"/>
    </row>
    <row r="14" spans="1:11" s="101" customFormat="1" ht="15.75" customHeight="1" x14ac:dyDescent="0.5">
      <c r="A14" s="100"/>
      <c r="B14" s="100"/>
      <c r="C14" s="106"/>
      <c r="D14" s="106"/>
      <c r="E14" s="106"/>
      <c r="F14" s="106"/>
      <c r="G14" s="106"/>
      <c r="H14" s="106"/>
      <c r="I14" s="106"/>
      <c r="J14" s="106"/>
      <c r="K14" s="100"/>
    </row>
    <row r="15" spans="1:11" s="101" customFormat="1" ht="15.75" customHeight="1" x14ac:dyDescent="0.5">
      <c r="A15" s="100"/>
      <c r="B15" s="100"/>
      <c r="C15" s="106"/>
      <c r="D15" s="106"/>
      <c r="E15" s="106"/>
      <c r="F15" s="106"/>
      <c r="G15" s="106"/>
      <c r="H15" s="106"/>
      <c r="I15" s="106"/>
      <c r="J15" s="106"/>
      <c r="K15" s="100"/>
    </row>
    <row r="16" spans="1:11" s="101" customFormat="1" ht="15.75" customHeight="1" x14ac:dyDescent="0.5">
      <c r="A16" s="100"/>
      <c r="B16" s="100"/>
      <c r="C16" s="106"/>
      <c r="D16" s="106"/>
      <c r="E16" s="106"/>
      <c r="F16" s="106"/>
      <c r="G16" s="106"/>
      <c r="H16" s="106"/>
      <c r="I16" s="106"/>
      <c r="J16" s="106"/>
      <c r="K16" s="100"/>
    </row>
    <row r="17" spans="1:11" s="101" customFormat="1" ht="15.75" customHeight="1" x14ac:dyDescent="0.5">
      <c r="A17" s="100"/>
      <c r="B17" s="100"/>
      <c r="C17" s="106"/>
      <c r="D17" s="106"/>
      <c r="E17" s="106"/>
      <c r="F17" s="106"/>
      <c r="G17" s="106"/>
      <c r="H17" s="106"/>
      <c r="I17" s="106"/>
      <c r="J17" s="106"/>
      <c r="K17" s="100"/>
    </row>
    <row r="18" spans="1:11" s="101" customFormat="1" ht="15.75" customHeight="1" x14ac:dyDescent="0.5">
      <c r="A18" s="100"/>
      <c r="B18" s="100"/>
      <c r="C18" s="106"/>
      <c r="D18" s="106"/>
      <c r="E18" s="106"/>
      <c r="F18" s="106"/>
      <c r="G18" s="106"/>
      <c r="H18" s="106"/>
      <c r="I18" s="106"/>
      <c r="J18" s="106"/>
      <c r="K18" s="100"/>
    </row>
    <row r="19" spans="1:11" s="101" customFormat="1" ht="15.75" customHeight="1" x14ac:dyDescent="0.5">
      <c r="A19" s="100"/>
      <c r="B19" s="100"/>
      <c r="C19" s="106"/>
      <c r="D19" s="106"/>
      <c r="E19" s="106"/>
      <c r="F19" s="106"/>
      <c r="G19" s="106"/>
      <c r="H19" s="106"/>
      <c r="I19" s="106"/>
      <c r="J19" s="106"/>
      <c r="K19" s="100"/>
    </row>
    <row r="20" spans="1:11" s="101" customFormat="1" ht="15.75" customHeight="1" x14ac:dyDescent="0.5">
      <c r="A20" s="100"/>
      <c r="B20" s="100"/>
      <c r="C20" s="106"/>
      <c r="D20" s="106"/>
      <c r="E20" s="106"/>
      <c r="F20" s="106"/>
      <c r="G20" s="106"/>
      <c r="H20" s="106"/>
      <c r="I20" s="106"/>
      <c r="J20" s="106"/>
      <c r="K20" s="100"/>
    </row>
    <row r="21" spans="1:11" s="101" customFormat="1" ht="15.75" customHeight="1" x14ac:dyDescent="0.5">
      <c r="A21" s="100"/>
      <c r="B21" s="100"/>
      <c r="C21" s="106"/>
      <c r="D21" s="106"/>
      <c r="E21" s="106"/>
      <c r="F21" s="106"/>
      <c r="G21" s="106"/>
      <c r="H21" s="106"/>
      <c r="I21" s="106"/>
      <c r="J21" s="106"/>
      <c r="K21" s="100"/>
    </row>
    <row r="22" spans="1:11" s="101" customFormat="1" ht="15.75" customHeight="1" x14ac:dyDescent="0.5">
      <c r="A22" s="100"/>
      <c r="B22" s="100"/>
      <c r="C22" s="106"/>
      <c r="D22" s="106"/>
      <c r="E22" s="106"/>
      <c r="F22" s="106"/>
      <c r="G22" s="106"/>
      <c r="H22" s="106"/>
      <c r="I22" s="106"/>
      <c r="J22" s="106"/>
      <c r="K22" s="100"/>
    </row>
    <row r="23" spans="1:11" s="101" customFormat="1" ht="15.75" customHeight="1" x14ac:dyDescent="0.5">
      <c r="A23" s="100"/>
      <c r="B23" s="100"/>
      <c r="C23" s="106"/>
      <c r="D23" s="106"/>
      <c r="E23" s="106"/>
      <c r="F23" s="106"/>
      <c r="G23" s="106"/>
      <c r="H23" s="106"/>
      <c r="I23" s="106"/>
      <c r="J23" s="106"/>
      <c r="K23" s="100"/>
    </row>
    <row r="24" spans="1:11" s="101" customFormat="1" ht="15.75" customHeight="1" x14ac:dyDescent="0.5">
      <c r="A24" s="100"/>
      <c r="B24" s="100"/>
      <c r="C24" s="106"/>
      <c r="D24" s="106"/>
      <c r="E24" s="106"/>
      <c r="F24" s="106"/>
      <c r="G24" s="106"/>
      <c r="H24" s="106"/>
      <c r="I24" s="106"/>
      <c r="J24" s="106"/>
      <c r="K24" s="100"/>
    </row>
    <row r="25" spans="1:11" s="101" customFormat="1" ht="15.75" customHeight="1" x14ac:dyDescent="0.5">
      <c r="A25" s="100"/>
      <c r="B25" s="100"/>
      <c r="C25" s="106"/>
      <c r="D25" s="106"/>
      <c r="E25" s="106"/>
      <c r="F25" s="106"/>
      <c r="G25" s="106"/>
      <c r="H25" s="106"/>
      <c r="I25" s="106"/>
      <c r="J25" s="106"/>
      <c r="K25" s="100"/>
    </row>
    <row r="26" spans="1:11" s="101" customFormat="1" ht="15.75" customHeight="1" x14ac:dyDescent="0.5">
      <c r="A26" s="100"/>
      <c r="B26" s="100"/>
      <c r="C26" s="106"/>
      <c r="D26" s="106"/>
      <c r="E26" s="106"/>
      <c r="F26" s="106"/>
      <c r="G26" s="106"/>
      <c r="H26" s="106"/>
      <c r="I26" s="106"/>
      <c r="J26" s="106"/>
      <c r="K26" s="100"/>
    </row>
    <row r="27" spans="1:11" s="101" customFormat="1" ht="15.75" customHeight="1" x14ac:dyDescent="0.5">
      <c r="A27" s="100"/>
      <c r="B27" s="100"/>
      <c r="C27" s="106"/>
      <c r="D27" s="106"/>
      <c r="E27" s="106"/>
      <c r="F27" s="106"/>
      <c r="G27" s="106"/>
      <c r="H27" s="106"/>
      <c r="I27" s="106"/>
      <c r="J27" s="106"/>
      <c r="K27" s="100"/>
    </row>
    <row r="28" spans="1:11" s="101" customFormat="1" ht="15.75" customHeight="1" x14ac:dyDescent="0.5">
      <c r="A28" s="100"/>
      <c r="B28" s="100"/>
      <c r="C28" s="106"/>
      <c r="D28" s="106"/>
      <c r="E28" s="106"/>
      <c r="F28" s="106"/>
      <c r="G28" s="106"/>
      <c r="H28" s="106"/>
      <c r="I28" s="106"/>
      <c r="J28" s="106"/>
      <c r="K28" s="100"/>
    </row>
    <row r="29" spans="1:11" s="101" customFormat="1" ht="15.75" customHeight="1" x14ac:dyDescent="0.5">
      <c r="A29" s="100"/>
      <c r="B29" s="100"/>
      <c r="C29" s="106"/>
      <c r="D29" s="106"/>
      <c r="E29" s="106"/>
      <c r="F29" s="106"/>
      <c r="G29" s="106"/>
      <c r="H29" s="106"/>
      <c r="I29" s="106"/>
      <c r="J29" s="106"/>
      <c r="K29" s="100"/>
    </row>
    <row r="30" spans="1:11" s="101" customFormat="1" ht="15.75" customHeight="1" x14ac:dyDescent="0.5">
      <c r="A30" s="100"/>
      <c r="B30" s="100"/>
      <c r="C30" s="106"/>
      <c r="D30" s="106"/>
      <c r="E30" s="106"/>
      <c r="F30" s="106"/>
      <c r="G30" s="106"/>
      <c r="H30" s="106"/>
      <c r="I30" s="106"/>
      <c r="J30" s="106"/>
      <c r="K30" s="100"/>
    </row>
    <row r="31" spans="1:11" s="101" customFormat="1" ht="15.75" customHeight="1" x14ac:dyDescent="0.5">
      <c r="A31" s="100"/>
      <c r="B31" s="100"/>
      <c r="C31" s="106"/>
      <c r="D31" s="106"/>
      <c r="E31" s="106"/>
      <c r="F31" s="106"/>
      <c r="G31" s="106"/>
      <c r="H31" s="106"/>
      <c r="I31" s="106"/>
      <c r="J31" s="106"/>
      <c r="K31" s="100"/>
    </row>
    <row r="32" spans="1:11" s="101" customFormat="1" ht="15.75" customHeight="1" x14ac:dyDescent="0.5">
      <c r="A32" s="100"/>
      <c r="B32" s="100"/>
      <c r="C32" s="106"/>
      <c r="D32" s="106"/>
      <c r="E32" s="106"/>
      <c r="F32" s="106"/>
      <c r="G32" s="106"/>
      <c r="H32" s="106"/>
      <c r="I32" s="106"/>
      <c r="J32" s="106"/>
      <c r="K32" s="100"/>
    </row>
    <row r="33" spans="1:11" s="101" customFormat="1" ht="15.75" customHeight="1" x14ac:dyDescent="0.5">
      <c r="A33" s="100"/>
      <c r="B33" s="100"/>
      <c r="C33" s="106"/>
      <c r="D33" s="106"/>
      <c r="E33" s="106"/>
      <c r="F33" s="106"/>
      <c r="G33" s="106"/>
      <c r="H33" s="106"/>
      <c r="I33" s="106"/>
      <c r="J33" s="106"/>
      <c r="K33" s="100"/>
    </row>
    <row r="34" spans="1:11" s="101" customFormat="1" ht="15.75" customHeight="1" x14ac:dyDescent="0.5">
      <c r="A34" s="100"/>
      <c r="B34" s="100"/>
      <c r="C34" s="106"/>
      <c r="D34" s="106"/>
      <c r="E34" s="106"/>
      <c r="F34" s="106"/>
      <c r="G34" s="106"/>
      <c r="H34" s="106"/>
      <c r="I34" s="106"/>
      <c r="J34" s="106"/>
      <c r="K34" s="100"/>
    </row>
    <row r="35" spans="1:11" s="101" customFormat="1" ht="15.75" customHeight="1" x14ac:dyDescent="0.5">
      <c r="A35" s="100"/>
      <c r="B35" s="100"/>
      <c r="C35" s="125" t="s">
        <v>106</v>
      </c>
      <c r="D35" s="125"/>
      <c r="E35" s="125"/>
      <c r="F35" s="106"/>
      <c r="G35" s="106"/>
      <c r="H35" s="106"/>
      <c r="I35" s="106"/>
      <c r="J35" s="106"/>
      <c r="K35" s="100"/>
    </row>
    <row r="36" spans="1:11" s="101" customFormat="1" ht="15.75" customHeight="1" x14ac:dyDescent="0.5">
      <c r="A36" s="100"/>
      <c r="B36" s="100"/>
      <c r="C36" s="110"/>
      <c r="D36" s="110"/>
      <c r="E36" s="110"/>
      <c r="F36" s="106"/>
      <c r="G36" s="106"/>
      <c r="H36" s="106"/>
      <c r="I36" s="106"/>
      <c r="J36" s="106"/>
      <c r="K36" s="100"/>
    </row>
    <row r="37" spans="1:11" s="101" customFormat="1" ht="15.75" customHeight="1" x14ac:dyDescent="0.5">
      <c r="A37" s="100"/>
      <c r="B37" s="100"/>
      <c r="C37" s="126" t="s">
        <v>167</v>
      </c>
      <c r="D37" s="126"/>
      <c r="E37" s="126"/>
      <c r="F37" s="126"/>
      <c r="G37" s="126"/>
      <c r="H37" s="126"/>
      <c r="I37" s="126"/>
      <c r="J37" s="126"/>
      <c r="K37" s="100"/>
    </row>
    <row r="38" spans="1:11" s="101" customFormat="1" ht="15.75" customHeight="1" x14ac:dyDescent="0.5">
      <c r="A38" s="100"/>
      <c r="B38" s="100"/>
      <c r="C38" s="126"/>
      <c r="D38" s="126"/>
      <c r="E38" s="126"/>
      <c r="F38" s="126"/>
      <c r="G38" s="126"/>
      <c r="H38" s="126"/>
      <c r="I38" s="126"/>
      <c r="J38" s="126"/>
      <c r="K38" s="100"/>
    </row>
    <row r="39" spans="1:11" s="101" customFormat="1" ht="15.75" customHeight="1" x14ac:dyDescent="0.5">
      <c r="A39" s="100"/>
      <c r="B39" s="100"/>
      <c r="C39" s="125" t="s">
        <v>107</v>
      </c>
      <c r="D39" s="125"/>
      <c r="E39" s="106"/>
      <c r="F39" s="106"/>
      <c r="G39" s="106"/>
      <c r="H39" s="106"/>
      <c r="I39" s="106"/>
      <c r="J39" s="106"/>
      <c r="K39" s="100"/>
    </row>
    <row r="40" spans="1:11" s="101" customFormat="1" ht="15.75" customHeight="1" x14ac:dyDescent="0.5">
      <c r="A40" s="100"/>
      <c r="B40" s="100"/>
      <c r="C40" s="126" t="s">
        <v>168</v>
      </c>
      <c r="D40" s="126"/>
      <c r="E40" s="126"/>
      <c r="F40" s="126"/>
      <c r="G40" s="126"/>
      <c r="H40" s="126"/>
      <c r="I40" s="126"/>
      <c r="J40" s="126"/>
      <c r="K40" s="100"/>
    </row>
    <row r="41" spans="1:11" s="101" customFormat="1" ht="15.75" customHeight="1" x14ac:dyDescent="0.5">
      <c r="A41" s="100"/>
      <c r="B41" s="100"/>
      <c r="C41" s="126"/>
      <c r="D41" s="126"/>
      <c r="E41" s="126"/>
      <c r="F41" s="126"/>
      <c r="G41" s="126"/>
      <c r="H41" s="126"/>
      <c r="I41" s="126"/>
      <c r="J41" s="126"/>
      <c r="K41" s="100"/>
    </row>
    <row r="42" spans="1:11" s="101" customFormat="1" ht="15.75" customHeight="1" x14ac:dyDescent="0.5">
      <c r="A42" s="100"/>
      <c r="B42" s="100"/>
      <c r="C42" s="106"/>
      <c r="D42" s="106"/>
      <c r="E42" s="106"/>
      <c r="F42" s="106"/>
      <c r="G42" s="106"/>
      <c r="H42" s="106"/>
      <c r="I42" s="106"/>
      <c r="J42" s="106"/>
      <c r="K42" s="100"/>
    </row>
    <row r="43" spans="1:11" s="104" customFormat="1" ht="15.75" customHeight="1" x14ac:dyDescent="0.5">
      <c r="A43" s="75" t="s">
        <v>141</v>
      </c>
      <c r="B43" s="75"/>
      <c r="C43" s="75"/>
      <c r="D43" s="75"/>
      <c r="E43" s="75"/>
      <c r="F43" s="75"/>
      <c r="G43" s="103"/>
      <c r="H43" s="103"/>
      <c r="I43" s="103"/>
      <c r="J43" s="103"/>
      <c r="K43" s="103"/>
    </row>
    <row r="44" spans="1:11" s="101" customFormat="1" ht="15.75" customHeight="1" x14ac:dyDescent="0.5">
      <c r="A44" s="100"/>
      <c r="B44" s="100"/>
      <c r="C44" s="125" t="s">
        <v>108</v>
      </c>
      <c r="D44" s="125"/>
      <c r="E44" s="125"/>
      <c r="F44" s="106"/>
      <c r="G44" s="106"/>
      <c r="H44" s="106"/>
      <c r="I44" s="106"/>
      <c r="J44" s="106"/>
      <c r="K44" s="100"/>
    </row>
    <row r="45" spans="1:11" s="101" customFormat="1" ht="15.75" customHeight="1" x14ac:dyDescent="0.5">
      <c r="A45" s="100"/>
      <c r="B45" s="100"/>
      <c r="C45" s="126" t="s">
        <v>109</v>
      </c>
      <c r="D45" s="126"/>
      <c r="E45" s="126"/>
      <c r="F45" s="126"/>
      <c r="G45" s="126"/>
      <c r="H45" s="126"/>
      <c r="I45" s="126"/>
      <c r="J45" s="126"/>
      <c r="K45" s="100"/>
    </row>
    <row r="46" spans="1:11" s="101" customFormat="1" ht="15.75" customHeight="1" x14ac:dyDescent="0.5">
      <c r="A46" s="100"/>
      <c r="B46" s="100"/>
      <c r="C46" s="126"/>
      <c r="D46" s="126"/>
      <c r="E46" s="126"/>
      <c r="F46" s="126"/>
      <c r="G46" s="126"/>
      <c r="H46" s="126"/>
      <c r="I46" s="126"/>
      <c r="J46" s="126"/>
      <c r="K46" s="100"/>
    </row>
    <row r="47" spans="1:11" s="101" customFormat="1" ht="15.75" customHeight="1" x14ac:dyDescent="0.5">
      <c r="A47" s="100"/>
      <c r="B47" s="100"/>
      <c r="C47" s="126"/>
      <c r="D47" s="126"/>
      <c r="E47" s="126"/>
      <c r="F47" s="126"/>
      <c r="G47" s="126"/>
      <c r="H47" s="126"/>
      <c r="I47" s="126"/>
      <c r="J47" s="126"/>
      <c r="K47" s="100"/>
    </row>
    <row r="48" spans="1:11" s="101" customFormat="1" ht="15.75" customHeight="1" x14ac:dyDescent="0.5">
      <c r="A48" s="100"/>
      <c r="B48" s="100"/>
      <c r="C48" s="125" t="s">
        <v>110</v>
      </c>
      <c r="D48" s="125"/>
      <c r="E48" s="125"/>
      <c r="F48" s="106"/>
      <c r="G48" s="106"/>
      <c r="H48" s="106"/>
      <c r="I48" s="106"/>
      <c r="J48" s="106"/>
      <c r="K48" s="100"/>
    </row>
    <row r="49" spans="1:15" s="101" customFormat="1" ht="15.75" customHeight="1" x14ac:dyDescent="0.5">
      <c r="A49" s="100"/>
      <c r="B49" s="100"/>
      <c r="C49" s="124" t="s">
        <v>111</v>
      </c>
      <c r="D49" s="124"/>
      <c r="E49" s="124"/>
      <c r="F49" s="124"/>
      <c r="G49" s="124"/>
      <c r="H49" s="124"/>
      <c r="I49" s="124"/>
      <c r="J49" s="124"/>
      <c r="K49" s="100"/>
    </row>
    <row r="50" spans="1:15" s="101" customFormat="1" ht="15.75" customHeight="1" x14ac:dyDescent="0.5">
      <c r="A50" s="100"/>
      <c r="B50" s="100"/>
      <c r="C50" s="124"/>
      <c r="D50" s="124"/>
      <c r="E50" s="124"/>
      <c r="F50" s="124"/>
      <c r="G50" s="124"/>
      <c r="H50" s="124"/>
      <c r="I50" s="124"/>
      <c r="J50" s="124"/>
      <c r="K50" s="100"/>
    </row>
    <row r="51" spans="1:15" s="101" customFormat="1" ht="15.75" customHeight="1" x14ac:dyDescent="0.5">
      <c r="A51" s="100"/>
      <c r="B51" s="100"/>
      <c r="C51" s="124"/>
      <c r="D51" s="124"/>
      <c r="E51" s="124"/>
      <c r="F51" s="124"/>
      <c r="G51" s="124"/>
      <c r="H51" s="124"/>
      <c r="I51" s="124"/>
      <c r="J51" s="124"/>
      <c r="K51" s="100"/>
    </row>
    <row r="52" spans="1:15" s="101" customFormat="1" ht="15.75" customHeight="1" x14ac:dyDescent="0.5">
      <c r="A52" s="100"/>
      <c r="B52" s="100"/>
      <c r="C52" s="125" t="s">
        <v>112</v>
      </c>
      <c r="D52" s="125"/>
      <c r="E52" s="125"/>
      <c r="F52" s="106"/>
      <c r="G52" s="106"/>
      <c r="H52" s="106"/>
      <c r="I52" s="106"/>
      <c r="J52" s="106"/>
      <c r="K52" s="100"/>
    </row>
    <row r="53" spans="1:15" s="101" customFormat="1" ht="15.75" customHeight="1" x14ac:dyDescent="0.5">
      <c r="A53" s="100"/>
      <c r="B53" s="100"/>
      <c r="C53" s="100" t="str">
        <f>"Total Insured Weight for your farm - is now calculated at "&amp;TEXT(' LPI Calculator'!C16,"#,###")&amp;" lbs."</f>
        <v>Total Insured Weight for your farm - is now calculated at 57,500 lbs.</v>
      </c>
      <c r="D53" s="100"/>
      <c r="E53" s="100"/>
      <c r="F53" s="100"/>
      <c r="G53" s="100"/>
      <c r="H53" s="100"/>
      <c r="I53" s="100"/>
      <c r="J53" s="100"/>
      <c r="K53" s="100"/>
    </row>
    <row r="54" spans="1:15" s="101" customFormat="1" ht="15.75" customHeight="1" x14ac:dyDescent="0.5">
      <c r="A54" s="100"/>
      <c r="B54" s="100"/>
      <c r="C54" s="125" t="s">
        <v>113</v>
      </c>
      <c r="D54" s="125"/>
      <c r="E54" s="125"/>
      <c r="F54" s="125"/>
      <c r="G54" s="106"/>
      <c r="H54" s="106"/>
      <c r="I54" s="106"/>
      <c r="J54" s="106"/>
      <c r="K54" s="100"/>
    </row>
    <row r="55" spans="1:15" s="101" customFormat="1" ht="15.75" customHeight="1" x14ac:dyDescent="0.5">
      <c r="A55" s="100"/>
      <c r="B55" s="100"/>
      <c r="C55" s="124" t="s">
        <v>169</v>
      </c>
      <c r="D55" s="124"/>
      <c r="E55" s="124"/>
      <c r="F55" s="124"/>
      <c r="G55" s="124"/>
      <c r="H55" s="124"/>
      <c r="I55" s="124"/>
      <c r="J55" s="124"/>
      <c r="K55" s="100"/>
    </row>
    <row r="56" spans="1:15" s="101" customFormat="1" ht="15.75" customHeight="1" x14ac:dyDescent="0.5">
      <c r="A56" s="100"/>
      <c r="B56" s="100"/>
      <c r="C56" s="124"/>
      <c r="D56" s="124"/>
      <c r="E56" s="124"/>
      <c r="F56" s="124"/>
      <c r="G56" s="124"/>
      <c r="H56" s="124"/>
      <c r="I56" s="124"/>
      <c r="J56" s="124"/>
      <c r="K56" s="100"/>
    </row>
    <row r="57" spans="1:15" s="101" customFormat="1" ht="15.75" customHeight="1" x14ac:dyDescent="0.5">
      <c r="A57" s="100"/>
      <c r="B57" s="100"/>
      <c r="C57" s="124"/>
      <c r="D57" s="124"/>
      <c r="E57" s="124"/>
      <c r="F57" s="124"/>
      <c r="G57" s="124"/>
      <c r="H57" s="124"/>
      <c r="I57" s="124"/>
      <c r="J57" s="124"/>
      <c r="K57" s="100"/>
    </row>
    <row r="58" spans="1:15" s="107" customFormat="1" ht="15.75" customHeight="1" x14ac:dyDescent="0.4">
      <c r="C58" s="123" t="s">
        <v>122</v>
      </c>
      <c r="D58" s="123"/>
      <c r="E58" s="123"/>
      <c r="F58" s="123"/>
      <c r="L58" s="8"/>
      <c r="M58" s="8"/>
      <c r="N58" s="8"/>
      <c r="O58" s="8"/>
    </row>
    <row r="59" spans="1:15" s="107" customFormat="1" ht="15.75" customHeight="1" x14ac:dyDescent="0.4">
      <c r="C59" s="127" t="str">
        <f>"Review and update the cow-calf production costs for your farm.   The feed cost is $"&amp;ROUND('Cost of Production'!C14,0)&amp;"/cow, total operating cost including feed is $"&amp;ROUND('Cost of Production'!C33,0)&amp;"/cow, fixed cost is $"&amp;ROUND('Cost of Production'!C41,0)&amp;"/cow, labour cost is $"&amp;ROUND('Cost of Production'!C44,0)&amp;"/cow and total cost cost is $"&amp;ROUND('Cost of Production'!C46,0)&amp;"/cow."</f>
        <v>Review and update the cow-calf production costs for your farm.   The feed cost is $490/cow, total operating cost including feed is $1190/cow, fixed cost is $251/cow, labour cost is $162/cow and total cost cost is $1603/cow.</v>
      </c>
      <c r="D59" s="127"/>
      <c r="E59" s="127"/>
      <c r="F59" s="127"/>
      <c r="G59" s="127"/>
      <c r="H59" s="127"/>
      <c r="I59" s="127"/>
      <c r="J59" s="127"/>
      <c r="L59" s="8"/>
      <c r="M59" s="8"/>
      <c r="N59" s="8"/>
      <c r="O59" s="8"/>
    </row>
    <row r="60" spans="1:15" s="107" customFormat="1" ht="15.75" customHeight="1" x14ac:dyDescent="0.4">
      <c r="C60" s="127"/>
      <c r="D60" s="127"/>
      <c r="E60" s="127"/>
      <c r="F60" s="127"/>
      <c r="G60" s="127"/>
      <c r="H60" s="127"/>
      <c r="I60" s="127"/>
      <c r="J60" s="127"/>
      <c r="L60" s="8"/>
      <c r="M60" s="8"/>
      <c r="N60" s="8"/>
      <c r="O60" s="8"/>
    </row>
    <row r="61" spans="1:15" s="107" customFormat="1" ht="15.75" customHeight="1" x14ac:dyDescent="0.4">
      <c r="C61" s="127"/>
      <c r="D61" s="127"/>
      <c r="E61" s="127"/>
      <c r="F61" s="127"/>
      <c r="G61" s="127"/>
      <c r="H61" s="127"/>
      <c r="I61" s="127"/>
      <c r="J61" s="127"/>
      <c r="L61" s="8"/>
      <c r="M61" s="8"/>
      <c r="N61" s="8"/>
      <c r="O61" s="8"/>
    </row>
    <row r="62" spans="1:15" ht="15.75" customHeight="1" x14ac:dyDescent="0.4">
      <c r="C62" s="127" t="str">
        <f>"Review your breakeven prices -  over operating cost is $"&amp;ROUND('Cost of Production'!C54,0)&amp;"/cwt,  over operating and fixed costs is $"&amp;ROUND('Cost of Production'!C56,0)&amp;"/cwt, and over operating, fixed and labour costs is $"&amp;ROUND('Cost of Production'!C57,0)&amp;"/cwt.  Knowing your farm's breakeven prices can help determine LPI Insured Index ($/cwt) that adequately manages both your risk and liabilities."</f>
        <v>Review your breakeven prices -  over operating cost is $218/cwt,  over operating and fixed costs is $264/cwt, and over operating, fixed and labour costs is $293/cwt.  Knowing your farm's breakeven prices can help determine LPI Insured Index ($/cwt) that adequately manages both your risk and liabilities.</v>
      </c>
      <c r="D62" s="127"/>
      <c r="E62" s="127"/>
      <c r="F62" s="127"/>
      <c r="G62" s="127"/>
      <c r="H62" s="127"/>
      <c r="I62" s="127"/>
      <c r="J62" s="127"/>
    </row>
    <row r="63" spans="1:15" ht="15.75" customHeight="1" x14ac:dyDescent="0.4">
      <c r="C63" s="127"/>
      <c r="D63" s="127"/>
      <c r="E63" s="127"/>
      <c r="F63" s="127"/>
      <c r="G63" s="127"/>
      <c r="H63" s="127"/>
      <c r="I63" s="127"/>
      <c r="J63" s="127"/>
    </row>
    <row r="64" spans="1:15" ht="15.75" customHeight="1" x14ac:dyDescent="0.4">
      <c r="C64" s="127"/>
      <c r="D64" s="127"/>
      <c r="E64" s="127"/>
      <c r="F64" s="127"/>
      <c r="G64" s="127"/>
      <c r="H64" s="127"/>
      <c r="I64" s="127"/>
      <c r="J64" s="127"/>
    </row>
    <row r="65" spans="1:15" ht="15.75" customHeight="1" x14ac:dyDescent="0.4"/>
    <row r="66" spans="1:15" s="104" customFormat="1" ht="15.75" customHeight="1" x14ac:dyDescent="0.5">
      <c r="A66" s="75" t="s">
        <v>151</v>
      </c>
      <c r="B66" s="75"/>
      <c r="C66" s="75"/>
      <c r="D66" s="75"/>
      <c r="E66" s="75"/>
      <c r="F66" s="75"/>
      <c r="G66" s="103"/>
      <c r="H66" s="103"/>
      <c r="I66" s="103"/>
      <c r="J66" s="103"/>
      <c r="K66" s="103"/>
    </row>
    <row r="67" spans="1:15" s="107" customFormat="1" ht="15.75" customHeight="1" x14ac:dyDescent="0.4">
      <c r="C67" s="123" t="s">
        <v>114</v>
      </c>
      <c r="D67" s="123"/>
      <c r="E67" s="123"/>
      <c r="L67" s="8"/>
      <c r="M67" s="8"/>
      <c r="N67" s="8"/>
      <c r="O67" s="8"/>
    </row>
    <row r="68" spans="1:15" ht="15" x14ac:dyDescent="0.4">
      <c r="C68" s="112" t="str">
        <f>' LPI Calculator'!A55</f>
        <v>Premium Cost ($/head) = Insured Weight (cwt) x Premium ($/cwt)   (eg. (575lbs /100) x $4.87 = $28.00)</v>
      </c>
    </row>
    <row r="69" spans="1:15" s="107" customFormat="1" ht="15.75" customHeight="1" x14ac:dyDescent="0.4">
      <c r="C69" s="123" t="s">
        <v>115</v>
      </c>
      <c r="D69" s="123"/>
      <c r="E69" s="123"/>
      <c r="L69" s="8"/>
      <c r="M69" s="8"/>
      <c r="N69" s="8"/>
      <c r="O69" s="8"/>
    </row>
    <row r="70" spans="1:15" ht="15" x14ac:dyDescent="0.4">
      <c r="C70" s="112" t="str">
        <f>' LPI Calculator'!A56</f>
        <v>Insured Value ($/head) = Insured Index ($/cwt) x Insured Weight (cwt)   (eg. $378 x (575lbs/100) = $2173.5)</v>
      </c>
    </row>
    <row r="71" spans="1:15" s="107" customFormat="1" ht="15.75" customHeight="1" x14ac:dyDescent="0.4">
      <c r="C71" s="123" t="s">
        <v>114</v>
      </c>
      <c r="D71" s="123"/>
      <c r="E71" s="123"/>
      <c r="L71" s="8"/>
      <c r="M71" s="8"/>
      <c r="N71" s="8"/>
      <c r="O71" s="8"/>
    </row>
    <row r="72" spans="1:15" ht="15" customHeight="1" x14ac:dyDescent="0.4">
      <c r="C72" s="127" t="str">
        <f>' LPI Calculator'!A57</f>
        <v>Premium Cost (% of Insured Value) = Premium Cost ($/head) / Insured Value ($/head)   (eg. $28.00 / $2173.5 = 1.29%),2</v>
      </c>
      <c r="D72" s="127"/>
      <c r="E72" s="127"/>
      <c r="F72" s="127"/>
      <c r="G72" s="127"/>
      <c r="H72" s="127"/>
      <c r="I72" s="127"/>
      <c r="J72" s="127"/>
    </row>
    <row r="73" spans="1:15" ht="15" customHeight="1" x14ac:dyDescent="0.4">
      <c r="C73" s="127"/>
      <c r="D73" s="127"/>
      <c r="E73" s="127"/>
      <c r="F73" s="127"/>
      <c r="G73" s="127"/>
      <c r="H73" s="127"/>
      <c r="I73" s="127"/>
      <c r="J73" s="127"/>
    </row>
    <row r="74" spans="1:15" s="107" customFormat="1" ht="15.75" customHeight="1" x14ac:dyDescent="0.4">
      <c r="C74" s="123" t="s">
        <v>116</v>
      </c>
      <c r="D74" s="123"/>
      <c r="E74" s="123"/>
      <c r="L74" s="8"/>
      <c r="M74" s="8"/>
      <c r="N74" s="8"/>
      <c r="O74" s="8"/>
    </row>
    <row r="75" spans="1:15" ht="15.75" customHeight="1" x14ac:dyDescent="0.4">
      <c r="C75" s="129" t="s">
        <v>152</v>
      </c>
      <c r="D75" s="129"/>
      <c r="E75" s="129"/>
      <c r="F75" s="129"/>
      <c r="G75" s="129"/>
      <c r="H75" s="129"/>
      <c r="I75" s="129"/>
      <c r="J75" s="129"/>
    </row>
    <row r="76" spans="1:15" ht="15.75" customHeight="1" x14ac:dyDescent="0.4">
      <c r="C76" s="129"/>
      <c r="D76" s="129"/>
      <c r="E76" s="129"/>
      <c r="F76" s="129"/>
      <c r="G76" s="129"/>
      <c r="H76" s="129"/>
      <c r="I76" s="129"/>
      <c r="J76" s="129"/>
    </row>
    <row r="77" spans="1:15" ht="15.75" customHeight="1" x14ac:dyDescent="0.4">
      <c r="C77" s="129"/>
      <c r="D77" s="129"/>
      <c r="E77" s="129"/>
      <c r="F77" s="129"/>
      <c r="G77" s="129"/>
      <c r="H77" s="129"/>
      <c r="I77" s="129"/>
      <c r="J77" s="129"/>
    </row>
    <row r="78" spans="1:15" s="107" customFormat="1" ht="15.75" customHeight="1" x14ac:dyDescent="0.4">
      <c r="C78" s="123" t="s">
        <v>119</v>
      </c>
      <c r="D78" s="123"/>
      <c r="E78" s="123"/>
      <c r="F78" s="123"/>
      <c r="G78" s="123"/>
      <c r="H78" s="123"/>
      <c r="I78" s="123"/>
      <c r="J78" s="123"/>
      <c r="L78" s="8"/>
      <c r="M78" s="8"/>
      <c r="N78" s="8"/>
      <c r="O78" s="8"/>
    </row>
    <row r="79" spans="1:15" ht="15" customHeight="1" x14ac:dyDescent="0.4">
      <c r="C79" s="127" t="s">
        <v>123</v>
      </c>
      <c r="D79" s="127"/>
      <c r="E79" s="127"/>
      <c r="F79" s="127"/>
      <c r="G79" s="127"/>
      <c r="H79" s="127"/>
      <c r="I79" s="127"/>
      <c r="J79" s="127"/>
    </row>
    <row r="80" spans="1:15" ht="15" customHeight="1" x14ac:dyDescent="0.4">
      <c r="C80" s="127"/>
      <c r="D80" s="127"/>
      <c r="E80" s="127"/>
      <c r="F80" s="127"/>
      <c r="G80" s="127"/>
      <c r="H80" s="127"/>
      <c r="I80" s="127"/>
      <c r="J80" s="127"/>
    </row>
    <row r="81" spans="1:15" ht="15.75" customHeight="1" x14ac:dyDescent="0.4">
      <c r="C81" s="127" t="str">
        <f>' LPI Calculator'!A58</f>
        <v>Incremental Coverage Cost (per $1 of Inc. Coverage) = (Premium Cost  - Premium Cost (lower level) / (Insured Value - Insured Value (lower level))   (eg. ($28.00 - $23.35) / ($2173.5 - $2162) = $.41)</v>
      </c>
      <c r="D81" s="127"/>
      <c r="E81" s="127"/>
      <c r="F81" s="127"/>
      <c r="G81" s="127"/>
      <c r="H81" s="127"/>
      <c r="I81" s="127"/>
      <c r="J81" s="127"/>
    </row>
    <row r="82" spans="1:15" ht="15.75" customHeight="1" x14ac:dyDescent="0.4">
      <c r="C82" s="127"/>
      <c r="D82" s="127"/>
      <c r="E82" s="127"/>
      <c r="F82" s="127"/>
      <c r="G82" s="127"/>
      <c r="H82" s="127"/>
      <c r="I82" s="127"/>
      <c r="J82" s="127"/>
    </row>
    <row r="83" spans="1:15" ht="15.75" customHeight="1" x14ac:dyDescent="0.4">
      <c r="C83" s="111"/>
      <c r="D83" s="111"/>
      <c r="E83" s="111"/>
      <c r="F83" s="111"/>
      <c r="G83" s="111"/>
      <c r="H83" s="111"/>
      <c r="I83" s="111"/>
      <c r="J83" s="111"/>
    </row>
    <row r="84" spans="1:15" s="104" customFormat="1" ht="15.75" customHeight="1" x14ac:dyDescent="0.5">
      <c r="A84" s="75" t="s">
        <v>128</v>
      </c>
      <c r="B84" s="75"/>
      <c r="C84" s="75"/>
      <c r="D84" s="75"/>
      <c r="E84" s="75"/>
      <c r="F84" s="75"/>
      <c r="G84" s="103"/>
      <c r="H84" s="103"/>
      <c r="I84" s="103"/>
      <c r="J84" s="103"/>
      <c r="K84" s="103"/>
    </row>
    <row r="85" spans="1:15" s="107" customFormat="1" ht="15.75" customHeight="1" x14ac:dyDescent="0.4">
      <c r="C85" s="123" t="s">
        <v>153</v>
      </c>
      <c r="D85" s="123"/>
      <c r="E85" s="123"/>
      <c r="L85" s="8"/>
      <c r="M85" s="8"/>
      <c r="N85" s="8"/>
      <c r="O85" s="8"/>
    </row>
    <row r="86" spans="1:15" s="101" customFormat="1" ht="15.75" customHeight="1" x14ac:dyDescent="0.5">
      <c r="A86" s="100"/>
      <c r="B86" s="100"/>
      <c r="C86" s="100" t="str">
        <f>"LPI Payment at Estimated Settlement Price = $"&amp;' LPI Calculator'!I14&amp;"/cwt on a per head and total basis."</f>
        <v>LPI Payment at Estimated Settlement Price = $325/cwt on a per head and total basis.</v>
      </c>
      <c r="D86" s="100"/>
      <c r="E86" s="100"/>
      <c r="F86" s="100"/>
      <c r="G86" s="100"/>
      <c r="H86" s="100"/>
      <c r="I86" s="100"/>
      <c r="J86" s="100"/>
      <c r="K86" s="100"/>
    </row>
    <row r="87" spans="1:15" ht="15.75" customHeight="1" x14ac:dyDescent="0.4">
      <c r="C87" s="128" t="str">
        <f>' LPI Calculator'!A59</f>
        <v>LPI Payment ($/head) = (Insured Index ($/cwt) - Estimated Settlement Price ($/cwt))) x (Insured  Weight (lbs)/100)     (eg. ($378 - $325) x (575 lbs/100) = $304.75)</v>
      </c>
      <c r="D87" s="128"/>
      <c r="E87" s="128"/>
      <c r="F87" s="128"/>
      <c r="G87" s="128"/>
      <c r="H87" s="128"/>
      <c r="I87" s="128"/>
      <c r="J87" s="128"/>
    </row>
    <row r="88" spans="1:15" ht="15.75" customHeight="1" x14ac:dyDescent="0.4">
      <c r="C88" s="128"/>
      <c r="D88" s="128"/>
      <c r="E88" s="128"/>
      <c r="F88" s="128"/>
      <c r="G88" s="128"/>
      <c r="H88" s="128"/>
      <c r="I88" s="128"/>
      <c r="J88" s="128"/>
    </row>
    <row r="89" spans="1:15" s="107" customFormat="1" ht="15.75" customHeight="1" x14ac:dyDescent="0.4">
      <c r="C89" s="123" t="s">
        <v>154</v>
      </c>
      <c r="D89" s="123"/>
      <c r="E89" s="123"/>
      <c r="F89" s="123"/>
      <c r="G89" s="123"/>
      <c r="L89" s="8"/>
      <c r="M89" s="8"/>
      <c r="N89" s="8"/>
      <c r="O89" s="8"/>
    </row>
    <row r="90" spans="1:15" ht="15.75" customHeight="1" x14ac:dyDescent="0.4">
      <c r="C90" s="128" t="str">
        <f>' LPI Calculator'!A60</f>
        <v>Cost Not Covered by LPI Insured Value ($/head) =  Cost of Production ($/head) + LPI Premium ($/head) - LPI Insured Value ($/head)   (eg. $1603 + $28.00 - $2173.5 = $0)</v>
      </c>
      <c r="D90" s="128"/>
      <c r="E90" s="128"/>
      <c r="F90" s="128"/>
      <c r="G90" s="128"/>
      <c r="H90" s="128"/>
      <c r="I90" s="128"/>
      <c r="J90" s="128"/>
    </row>
    <row r="91" spans="1:15" ht="15.75" customHeight="1" x14ac:dyDescent="0.4">
      <c r="C91" s="128"/>
      <c r="D91" s="128"/>
      <c r="E91" s="128"/>
      <c r="F91" s="128"/>
      <c r="G91" s="128"/>
      <c r="H91" s="128"/>
      <c r="I91" s="128"/>
      <c r="J91" s="128"/>
    </row>
    <row r="92" spans="1:15" ht="15.75" customHeight="1" x14ac:dyDescent="0.4">
      <c r="C92" s="124" t="s">
        <v>155</v>
      </c>
      <c r="D92" s="124"/>
      <c r="E92" s="124"/>
      <c r="F92" s="124"/>
      <c r="G92" s="124"/>
      <c r="H92" s="124"/>
      <c r="I92" s="124"/>
      <c r="J92" s="124"/>
    </row>
    <row r="93" spans="1:15" ht="15.75" customHeight="1" x14ac:dyDescent="0.4">
      <c r="C93" s="124"/>
      <c r="D93" s="124"/>
      <c r="E93" s="124"/>
      <c r="F93" s="124"/>
      <c r="G93" s="124"/>
      <c r="H93" s="124"/>
      <c r="I93" s="124"/>
      <c r="J93" s="124"/>
    </row>
    <row r="94" spans="1:15" ht="15.75" customHeight="1" x14ac:dyDescent="0.4">
      <c r="C94" s="124"/>
      <c r="D94" s="124"/>
      <c r="E94" s="124"/>
      <c r="F94" s="124"/>
      <c r="G94" s="124"/>
      <c r="H94" s="124"/>
      <c r="I94" s="124"/>
      <c r="J94" s="124"/>
    </row>
    <row r="96" spans="1:15" s="104" customFormat="1" ht="15.75" customHeight="1" x14ac:dyDescent="0.5">
      <c r="A96" s="75" t="s">
        <v>120</v>
      </c>
      <c r="B96" s="75"/>
      <c r="C96" s="75"/>
      <c r="D96" s="75"/>
      <c r="E96" s="75"/>
      <c r="F96" s="75"/>
      <c r="G96" s="103"/>
      <c r="H96" s="103"/>
      <c r="I96" s="103"/>
      <c r="J96" s="103"/>
      <c r="K96" s="103"/>
    </row>
    <row r="97" spans="3:15" s="107" customFormat="1" ht="15.75" customHeight="1" x14ac:dyDescent="0.4">
      <c r="C97" s="123" t="s">
        <v>121</v>
      </c>
      <c r="D97" s="123"/>
      <c r="E97" s="123"/>
      <c r="F97" s="123"/>
      <c r="L97" s="8"/>
      <c r="M97" s="8"/>
      <c r="N97" s="8"/>
      <c r="O97" s="8"/>
    </row>
    <row r="98" spans="3:15" ht="15.75" customHeight="1" x14ac:dyDescent="0.4">
      <c r="C98" s="127" t="str">
        <f>' LPI Calculator'!A61</f>
        <v>Marginal Return ($/head) = ((Est. Settlement Price ($/cwt) x (Insured Weight (lbs) / 100)) + LPI Payment ($/head) - (Costs ($/head) + LPI Premium($/head)))   (eg. (($325 x (575 lbs/100)) + $339 - ($1603 + $42.38) = $562.77)</v>
      </c>
      <c r="D98" s="127"/>
      <c r="E98" s="127"/>
      <c r="F98" s="127"/>
      <c r="G98" s="127"/>
      <c r="H98" s="127"/>
      <c r="I98" s="127"/>
      <c r="J98" s="127"/>
    </row>
    <row r="99" spans="3:15" ht="15.75" customHeight="1" x14ac:dyDescent="0.4">
      <c r="C99" s="127"/>
      <c r="D99" s="127"/>
      <c r="E99" s="127"/>
      <c r="F99" s="127"/>
      <c r="G99" s="127"/>
      <c r="H99" s="127"/>
      <c r="I99" s="127"/>
      <c r="J99" s="127"/>
    </row>
    <row r="100" spans="3:15" ht="15.75" customHeight="1" x14ac:dyDescent="0.4">
      <c r="C100" s="127"/>
      <c r="D100" s="127"/>
      <c r="E100" s="127"/>
      <c r="F100" s="127"/>
      <c r="G100" s="127"/>
      <c r="H100" s="127"/>
      <c r="I100" s="127"/>
      <c r="J100" s="127"/>
    </row>
    <row r="101" spans="3:15" ht="15.75" customHeight="1" x14ac:dyDescent="0.4">
      <c r="C101" s="124" t="s">
        <v>156</v>
      </c>
      <c r="D101" s="124"/>
      <c r="E101" s="124"/>
      <c r="F101" s="124"/>
      <c r="G101" s="124"/>
      <c r="H101" s="124"/>
      <c r="I101" s="124"/>
      <c r="J101" s="124"/>
    </row>
    <row r="102" spans="3:15" ht="15.75" customHeight="1" x14ac:dyDescent="0.4">
      <c r="C102" s="124"/>
      <c r="D102" s="124"/>
      <c r="E102" s="124"/>
      <c r="F102" s="124"/>
      <c r="G102" s="124"/>
      <c r="H102" s="124"/>
      <c r="I102" s="124"/>
      <c r="J102" s="124"/>
    </row>
  </sheetData>
  <sheetProtection sheet="1" objects="1" scenarios="1"/>
  <mergeCells count="36">
    <mergeCell ref="A3:J3"/>
    <mergeCell ref="A4:J6"/>
    <mergeCell ref="C11:J12"/>
    <mergeCell ref="B9:D9"/>
    <mergeCell ref="C52:E52"/>
    <mergeCell ref="B10:E10"/>
    <mergeCell ref="C40:J41"/>
    <mergeCell ref="C45:J47"/>
    <mergeCell ref="C49:J51"/>
    <mergeCell ref="C39:D39"/>
    <mergeCell ref="C35:E35"/>
    <mergeCell ref="C62:J64"/>
    <mergeCell ref="C59:J61"/>
    <mergeCell ref="C71:E71"/>
    <mergeCell ref="C78:J78"/>
    <mergeCell ref="C81:J82"/>
    <mergeCell ref="C74:E74"/>
    <mergeCell ref="C79:J80"/>
    <mergeCell ref="C75:J77"/>
    <mergeCell ref="C72:J73"/>
    <mergeCell ref="C67:E67"/>
    <mergeCell ref="C69:E69"/>
    <mergeCell ref="C98:J100"/>
    <mergeCell ref="C101:J102"/>
    <mergeCell ref="C85:E85"/>
    <mergeCell ref="C87:J88"/>
    <mergeCell ref="C90:J91"/>
    <mergeCell ref="C92:J94"/>
    <mergeCell ref="C89:G89"/>
    <mergeCell ref="C97:F97"/>
    <mergeCell ref="C58:F58"/>
    <mergeCell ref="C55:J57"/>
    <mergeCell ref="C48:E48"/>
    <mergeCell ref="C44:E44"/>
    <mergeCell ref="C37:J38"/>
    <mergeCell ref="C54:F54"/>
  </mergeCells>
  <hyperlinks>
    <hyperlink ref="B10" r:id="rId1" display="Premiums and Settlements:" xr:uid="{00000000-0004-0000-0100-000000000000}"/>
    <hyperlink ref="B10:E10" r:id="rId2" display="Click on Premiums and Settlements:" xr:uid="{00000000-0004-0000-0100-000001000000}"/>
    <hyperlink ref="C39" location="WLPIP!C10" display="Enter Premiums ($/cwt) " xr:uid="{00000000-0004-0000-0100-000002000000}"/>
    <hyperlink ref="B9" r:id="rId3" display="Go to WCPIP - Calf website" xr:uid="{00000000-0004-0000-0100-000003000000}"/>
    <hyperlink ref="C44" location="WLPIP!C14" display="Enter Insured Weight (lbs) " xr:uid="{00000000-0004-0000-0100-000004000000}"/>
    <hyperlink ref="C48" location="WLPIP!C15" display="Enter Number of Calves (head) " xr:uid="{00000000-0004-0000-0100-000005000000}"/>
    <hyperlink ref="C52" location="WLPIP!C16" display="Total Insured Weight (lbs) " xr:uid="{00000000-0004-0000-0100-000006000000}"/>
    <hyperlink ref="C54" location="WLPIP!I14" display="Enter Number of Calves (head) " xr:uid="{00000000-0004-0000-0100-000007000000}"/>
    <hyperlink ref="C58" location="'Cost of Production'!C10" display="Review Cow-calf Cost of Production" xr:uid="{00000000-0004-0000-0100-000008000000}"/>
    <hyperlink ref="C67" location="'Cost of Production'!C10" display="Review Cow-calf Cost of Production" xr:uid="{00000000-0004-0000-0100-000009000000}"/>
    <hyperlink ref="C67:E67" location="' LPI Calculator'!A20" display="Review Premium Cost" xr:uid="{00000000-0004-0000-0100-00000A000000}"/>
    <hyperlink ref="C69" location="'Cost of Production'!C10" display="Review Cow-calf Cost of Production" xr:uid="{00000000-0004-0000-0100-00000B000000}"/>
    <hyperlink ref="C69:E69" location="' LPI Calculator'!A21" display="Review Insured Value" xr:uid="{00000000-0004-0000-0100-00000C000000}"/>
    <hyperlink ref="C71" location="'Cost of Production'!C10" display="Review Cow-calf Cost of Production" xr:uid="{00000000-0004-0000-0100-00000D000000}"/>
    <hyperlink ref="C71:E71" location="' LPI Calculator'!A23" display="Review Premium Cost" xr:uid="{00000000-0004-0000-0100-00000E000000}"/>
    <hyperlink ref="C78" location="'Cost of Production'!C10" display="Review Cow-calf Cost of Production" xr:uid="{00000000-0004-0000-0100-00000F000000}"/>
    <hyperlink ref="C78:E78" location="WLPIP!B31" display="Review Premium Cost" xr:uid="{00000000-0004-0000-0100-000010000000}"/>
    <hyperlink ref="C74" location="'Cost of Production'!C10" display="Review Cow-calf Cost of Production" xr:uid="{00000000-0004-0000-0100-000011000000}"/>
    <hyperlink ref="C74:E74" location="' LPI Calculator'!A25" display="Review Total Premium Cost" xr:uid="{00000000-0004-0000-0100-000012000000}"/>
    <hyperlink ref="C85" location="'Cost of Production'!C10" display="Review Cow-calf Cost of Production" xr:uid="{00000000-0004-0000-0100-000013000000}"/>
    <hyperlink ref="C85:E85" location="' LPI Calculator'!B36" display="Review Estimated LPI Payment" xr:uid="{00000000-0004-0000-0100-000014000000}"/>
    <hyperlink ref="C89" location="WLPIP!A39" display="Review Production Costs Not Covered by the WLPIP Insured Price" xr:uid="{00000000-0004-0000-0100-000015000000}"/>
    <hyperlink ref="C89:E89" location="WLPIP!B36" display="Review Estimated WLPIP Payment" xr:uid="{00000000-0004-0000-0100-000016000000}"/>
    <hyperlink ref="C97" location="'Cost of Production'!C10" display="Review Cow-calf Cost of Production" xr:uid="{00000000-0004-0000-0100-000017000000}"/>
    <hyperlink ref="C97:E97" location="WLPIP!B36" display="Review Estimated WLPIP Payment" xr:uid="{00000000-0004-0000-0100-000018000000}"/>
    <hyperlink ref="C89:G89" location="' LPI Calculator'!A39" display="Review Production Costs Not Covered by the LPI Insured Price" xr:uid="{00000000-0004-0000-0100-000019000000}"/>
    <hyperlink ref="C97:F97" location="' LPI Calculator'!A47" display="Review Marginal Returns (Profitability)" xr:uid="{00000000-0004-0000-0100-00001A000000}"/>
    <hyperlink ref="C39:D39" location="' LPI Calculator'!C10" display="Enter Premiums ($/cwt) " xr:uid="{00000000-0004-0000-0100-00001B000000}"/>
    <hyperlink ref="C44:E44" location="' LPI Calculator'!C14" display="Enter Insured Weight (lbs) " xr:uid="{00000000-0004-0000-0100-00001C000000}"/>
    <hyperlink ref="C48:E48" location="' LPI Calculator'!C15" display="Enter Number of Calves (head) " xr:uid="{00000000-0004-0000-0100-00001D000000}"/>
    <hyperlink ref="C52:E52" location="' LPI Calculator'!C16" display="Total Insured Weight (lbs) " xr:uid="{00000000-0004-0000-0100-00001E000000}"/>
    <hyperlink ref="C54:F54" location="' LPI Calculator'!I14" display="Enter Estimated Settlement Price ($/cwt) " xr:uid="{00000000-0004-0000-0100-00001F000000}"/>
    <hyperlink ref="C78:J78" location="' LPI Calculator'!B31" display="Review Incremental Coverage Cost Cost" xr:uid="{00000000-0004-0000-0100-000020000000}"/>
    <hyperlink ref="C35:E35" location="' LPI Calculator'!C9" display="Enter Insured Index ($/cwt) " xr:uid="{00000000-0004-0000-0100-000021000000}"/>
    <hyperlink ref="C35" location="WLPIP!C9" display="Enter Insured Index ($/cwt) " xr:uid="{00000000-0004-0000-0100-000022000000}"/>
    <hyperlink ref="B9:D9" r:id="rId4" display="Go to LPI - Calf website" xr:uid="{00000000-0004-0000-0100-000023000000}"/>
  </hyperlinks>
  <pageMargins left="0.51181102362204722" right="0.51181102362204722" top="0.74803149606299213" bottom="0.74803149606299213" header="0.31496062992125984" footer="0.31496062992125984"/>
  <pageSetup scale="77" firstPageNumber="2" fitToHeight="2" orientation="portrait" useFirstPageNumber="1" r:id="rId5"/>
  <headerFooter>
    <oddFooter xml:space="preserve">&amp;RManitoba Agriculture, Farm Management
</oddFooter>
  </headerFooter>
  <rowBreaks count="1" manualBreakCount="1">
    <brk id="58" max="10"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S57"/>
  <sheetViews>
    <sheetView tabSelected="1" workbookViewId="0">
      <selection activeCell="B1" sqref="B1"/>
    </sheetView>
  </sheetViews>
  <sheetFormatPr defaultRowHeight="15" x14ac:dyDescent="0.5"/>
  <cols>
    <col min="1" max="1" width="2.6328125" customWidth="1"/>
    <col min="2" max="2" width="32.1796875" customWidth="1"/>
    <col min="3" max="3" width="9.90625" bestFit="1" customWidth="1"/>
  </cols>
  <sheetData>
    <row r="3" spans="1:19" s="10" customFormat="1" ht="17.7" x14ac:dyDescent="0.6">
      <c r="A3" s="131" t="s">
        <v>53</v>
      </c>
      <c r="B3" s="132"/>
      <c r="C3" s="132"/>
      <c r="D3" s="132"/>
      <c r="E3" s="132"/>
      <c r="F3" s="132"/>
      <c r="G3" s="132"/>
      <c r="H3" s="132"/>
      <c r="I3" s="132"/>
    </row>
    <row r="4" spans="1:19" s="10" customFormat="1" x14ac:dyDescent="0.5"/>
    <row r="5" spans="1:19" s="16" customFormat="1" ht="15.75" customHeight="1" x14ac:dyDescent="0.5">
      <c r="A5" s="49" t="s">
        <v>54</v>
      </c>
      <c r="C5" s="50"/>
      <c r="D5" s="50"/>
    </row>
    <row r="8" spans="1:19" s="2" customFormat="1" ht="15.75" customHeight="1" x14ac:dyDescent="0.55000000000000004">
      <c r="A8" s="13" t="s">
        <v>16</v>
      </c>
      <c r="B8" s="4"/>
      <c r="C8" s="32" t="s">
        <v>17</v>
      </c>
      <c r="D8" s="3"/>
      <c r="E8" s="3"/>
      <c r="F8" s="3"/>
      <c r="G8" s="3"/>
      <c r="H8" s="3"/>
      <c r="I8" s="3"/>
      <c r="J8" s="3"/>
      <c r="K8" s="3"/>
      <c r="L8" s="3"/>
      <c r="M8" s="3"/>
      <c r="N8" s="3"/>
      <c r="O8" s="3"/>
      <c r="P8" s="3"/>
      <c r="Q8" s="3"/>
      <c r="R8" s="3"/>
      <c r="S8" s="3"/>
    </row>
    <row r="9" spans="1:19" s="2" customFormat="1" ht="15.75" customHeight="1" x14ac:dyDescent="0.55000000000000004">
      <c r="A9" s="4"/>
      <c r="B9" s="13" t="s">
        <v>18</v>
      </c>
      <c r="C9" s="33"/>
      <c r="D9" s="3"/>
      <c r="E9" s="3"/>
      <c r="F9" s="3"/>
      <c r="G9" s="3"/>
      <c r="H9" s="3"/>
      <c r="I9" s="3"/>
      <c r="J9" s="3"/>
      <c r="K9" s="3"/>
      <c r="L9" s="3"/>
      <c r="M9" s="3"/>
      <c r="N9" s="3"/>
      <c r="O9" s="3"/>
      <c r="P9" s="3"/>
      <c r="Q9" s="3"/>
      <c r="R9" s="3"/>
      <c r="S9" s="3"/>
    </row>
    <row r="10" spans="1:19" s="2" customFormat="1" ht="15.75" customHeight="1" x14ac:dyDescent="0.55000000000000004">
      <c r="A10" s="4"/>
      <c r="B10" s="5" t="s">
        <v>19</v>
      </c>
      <c r="C10" s="46">
        <v>95.72</v>
      </c>
      <c r="D10" s="3"/>
      <c r="E10" s="3"/>
      <c r="F10" s="60"/>
      <c r="G10" s="3"/>
      <c r="H10" s="3"/>
      <c r="I10" s="3"/>
      <c r="J10" s="3"/>
      <c r="K10" s="3"/>
      <c r="L10" s="3"/>
      <c r="M10" s="3"/>
      <c r="N10" s="3"/>
      <c r="O10" s="3"/>
      <c r="P10" s="3"/>
      <c r="Q10" s="3"/>
      <c r="R10" s="3"/>
      <c r="S10" s="3"/>
    </row>
    <row r="11" spans="1:19" s="2" customFormat="1" ht="15.75" customHeight="1" x14ac:dyDescent="0.55000000000000004">
      <c r="A11" s="4"/>
      <c r="B11" s="5" t="s">
        <v>20</v>
      </c>
      <c r="C11" s="47">
        <v>311.02</v>
      </c>
      <c r="D11" s="3"/>
      <c r="E11" s="3"/>
      <c r="F11" s="3"/>
      <c r="G11" s="3"/>
      <c r="H11" s="3"/>
      <c r="I11" s="3"/>
      <c r="J11" s="3"/>
      <c r="K11" s="3"/>
      <c r="L11" s="3"/>
      <c r="M11" s="3"/>
      <c r="N11" s="3"/>
      <c r="O11" s="3"/>
      <c r="P11" s="3"/>
      <c r="Q11" s="3"/>
      <c r="R11" s="3"/>
      <c r="S11" s="3"/>
    </row>
    <row r="12" spans="1:19" s="2" customFormat="1" ht="15.75" customHeight="1" x14ac:dyDescent="0.55000000000000004">
      <c r="A12" s="4"/>
      <c r="B12" s="5" t="s">
        <v>21</v>
      </c>
      <c r="C12" s="46">
        <v>42.09</v>
      </c>
      <c r="D12" s="3"/>
      <c r="E12" s="3"/>
      <c r="F12" s="3"/>
      <c r="G12" s="3"/>
      <c r="H12" s="3"/>
      <c r="I12" s="3"/>
      <c r="J12" s="3"/>
      <c r="K12" s="3"/>
      <c r="L12" s="3"/>
      <c r="M12" s="3"/>
      <c r="N12" s="3"/>
      <c r="O12" s="3"/>
      <c r="P12" s="3"/>
      <c r="Q12" s="3"/>
      <c r="R12" s="3"/>
      <c r="S12" s="3"/>
    </row>
    <row r="13" spans="1:19" s="2" customFormat="1" ht="15.75" customHeight="1" x14ac:dyDescent="0.55000000000000004">
      <c r="A13" s="4"/>
      <c r="B13" s="5" t="s">
        <v>22</v>
      </c>
      <c r="C13" s="48">
        <v>41.65</v>
      </c>
      <c r="D13" s="3"/>
      <c r="E13" s="59"/>
      <c r="F13" s="3"/>
      <c r="G13" s="3"/>
      <c r="H13" s="3"/>
      <c r="I13" s="3"/>
      <c r="J13" s="3"/>
      <c r="K13" s="3"/>
      <c r="L13" s="3"/>
      <c r="M13" s="3"/>
      <c r="N13" s="3"/>
      <c r="O13" s="3"/>
      <c r="P13" s="3"/>
      <c r="Q13" s="3"/>
      <c r="R13" s="3"/>
      <c r="S13" s="3"/>
    </row>
    <row r="14" spans="1:19" s="2" customFormat="1" ht="15.75" customHeight="1" x14ac:dyDescent="0.55000000000000004">
      <c r="A14" s="4"/>
      <c r="B14" s="24" t="s">
        <v>23</v>
      </c>
      <c r="C14" s="35">
        <f>SUM(C10:C13)</f>
        <v>490.48</v>
      </c>
      <c r="D14" s="3"/>
      <c r="E14" s="3"/>
      <c r="F14" s="3"/>
      <c r="G14" s="3"/>
      <c r="H14" s="3"/>
      <c r="I14" s="3"/>
      <c r="J14" s="3"/>
      <c r="K14" s="3"/>
      <c r="L14" s="3"/>
      <c r="M14" s="3"/>
      <c r="N14" s="3"/>
      <c r="O14" s="3"/>
      <c r="P14" s="3"/>
      <c r="Q14" s="3"/>
      <c r="R14" s="3"/>
      <c r="S14" s="3"/>
    </row>
    <row r="15" spans="1:19" s="2" customFormat="1" ht="15.75" customHeight="1" x14ac:dyDescent="0.55000000000000004">
      <c r="A15" s="4"/>
      <c r="B15" s="24"/>
      <c r="C15" s="36"/>
      <c r="D15" s="3"/>
      <c r="E15" s="3"/>
      <c r="F15" s="3"/>
      <c r="G15" s="3"/>
      <c r="H15" s="3"/>
      <c r="I15" s="3"/>
      <c r="J15" s="3"/>
      <c r="K15" s="3"/>
      <c r="L15" s="3"/>
      <c r="M15" s="3"/>
      <c r="N15" s="3"/>
      <c r="O15" s="3"/>
      <c r="P15" s="3"/>
      <c r="Q15" s="3"/>
      <c r="R15" s="3"/>
      <c r="S15" s="3"/>
    </row>
    <row r="16" spans="1:19" s="2" customFormat="1" ht="15.75" customHeight="1" x14ac:dyDescent="0.55000000000000004">
      <c r="A16" s="4"/>
      <c r="B16" s="13" t="s">
        <v>24</v>
      </c>
      <c r="C16" s="33" t="s">
        <v>25</v>
      </c>
      <c r="D16" s="3"/>
      <c r="E16" s="3"/>
      <c r="F16" s="3"/>
      <c r="G16" s="3"/>
      <c r="H16" s="3"/>
      <c r="I16" s="3"/>
      <c r="J16" s="3"/>
      <c r="K16" s="3"/>
      <c r="L16" s="3"/>
      <c r="M16" s="3"/>
      <c r="N16" s="3"/>
      <c r="O16" s="3"/>
      <c r="P16" s="3"/>
      <c r="Q16" s="3"/>
      <c r="R16" s="3"/>
      <c r="S16" s="3"/>
    </row>
    <row r="17" spans="1:19" s="2" customFormat="1" ht="15.75" customHeight="1" x14ac:dyDescent="0.55000000000000004">
      <c r="A17" s="4"/>
      <c r="B17" s="5" t="s">
        <v>26</v>
      </c>
      <c r="C17" s="46">
        <v>70</v>
      </c>
      <c r="D17" s="3"/>
      <c r="E17" s="3"/>
      <c r="F17" s="3"/>
      <c r="G17" s="3"/>
      <c r="H17" s="3"/>
      <c r="I17" s="3"/>
      <c r="J17" s="3"/>
      <c r="K17" s="3"/>
      <c r="L17" s="3"/>
      <c r="M17" s="3"/>
      <c r="N17" s="3"/>
      <c r="O17" s="3"/>
      <c r="P17" s="3"/>
      <c r="Q17" s="3"/>
      <c r="R17" s="3"/>
      <c r="S17" s="3"/>
    </row>
    <row r="18" spans="1:19" s="2" customFormat="1" ht="15.75" customHeight="1" x14ac:dyDescent="0.55000000000000004">
      <c r="A18" s="4"/>
      <c r="B18" s="5" t="s">
        <v>27</v>
      </c>
      <c r="C18" s="46">
        <v>24.81</v>
      </c>
      <c r="D18" s="3"/>
      <c r="E18" s="3"/>
      <c r="F18" s="3"/>
      <c r="G18" s="3"/>
      <c r="H18" s="3"/>
      <c r="I18" s="3"/>
      <c r="J18" s="3"/>
      <c r="K18" s="3"/>
      <c r="L18" s="3"/>
      <c r="M18" s="3"/>
      <c r="N18" s="3"/>
      <c r="O18" s="3"/>
      <c r="P18" s="3"/>
      <c r="Q18" s="3"/>
      <c r="R18" s="3"/>
      <c r="S18" s="3"/>
    </row>
    <row r="19" spans="1:19" s="2" customFormat="1" ht="15.75" customHeight="1" x14ac:dyDescent="0.55000000000000004">
      <c r="A19" s="4"/>
      <c r="B19" s="5" t="s">
        <v>28</v>
      </c>
      <c r="C19" s="46">
        <v>56.62</v>
      </c>
      <c r="D19" s="3"/>
      <c r="E19" s="3"/>
      <c r="F19" s="3"/>
      <c r="G19" s="3"/>
      <c r="H19" s="3"/>
      <c r="I19" s="3"/>
      <c r="J19" s="3"/>
      <c r="K19" s="3"/>
      <c r="L19" s="3"/>
      <c r="M19" s="3"/>
      <c r="N19" s="3"/>
      <c r="O19" s="3"/>
      <c r="P19" s="3"/>
      <c r="Q19" s="3"/>
      <c r="R19" s="3"/>
      <c r="S19" s="3"/>
    </row>
    <row r="20" spans="1:19" s="2" customFormat="1" ht="15.75" customHeight="1" x14ac:dyDescent="0.55000000000000004">
      <c r="A20" s="4"/>
      <c r="B20" s="5" t="s">
        <v>29</v>
      </c>
      <c r="C20" s="46">
        <v>38.78</v>
      </c>
      <c r="D20" s="3"/>
      <c r="E20" s="3"/>
      <c r="F20" s="3"/>
      <c r="G20" s="3"/>
      <c r="H20" s="3"/>
      <c r="I20" s="3"/>
      <c r="J20" s="3"/>
      <c r="K20" s="3"/>
      <c r="L20" s="3"/>
      <c r="M20" s="3"/>
      <c r="N20" s="3"/>
      <c r="O20" s="3"/>
      <c r="P20" s="3"/>
      <c r="Q20" s="3"/>
      <c r="R20" s="3"/>
      <c r="S20" s="3"/>
    </row>
    <row r="21" spans="1:19" s="2" customFormat="1" ht="15.75" customHeight="1" x14ac:dyDescent="0.55000000000000004">
      <c r="A21" s="4"/>
      <c r="B21" s="5" t="s">
        <v>30</v>
      </c>
      <c r="C21" s="46">
        <v>9.48</v>
      </c>
      <c r="D21" s="3"/>
      <c r="E21" s="3"/>
      <c r="F21" s="3"/>
      <c r="G21" s="3"/>
      <c r="H21" s="3"/>
      <c r="I21" s="3"/>
      <c r="J21" s="3"/>
      <c r="K21" s="3"/>
      <c r="L21" s="3"/>
      <c r="M21" s="3"/>
      <c r="N21" s="3"/>
      <c r="O21" s="3"/>
      <c r="P21" s="3"/>
      <c r="Q21" s="3"/>
      <c r="R21" s="3"/>
      <c r="S21" s="3"/>
    </row>
    <row r="22" spans="1:19" s="2" customFormat="1" ht="15.75" customHeight="1" x14ac:dyDescent="0.55000000000000004">
      <c r="A22" s="4"/>
      <c r="B22" s="5" t="s">
        <v>31</v>
      </c>
      <c r="C22" s="46">
        <v>37.76</v>
      </c>
      <c r="D22" s="3"/>
      <c r="E22" s="3"/>
      <c r="F22" s="3"/>
      <c r="G22" s="3"/>
      <c r="H22" s="3"/>
      <c r="I22" s="3"/>
      <c r="J22" s="3"/>
      <c r="K22" s="3"/>
      <c r="L22" s="3"/>
      <c r="M22" s="3"/>
      <c r="N22" s="3"/>
      <c r="O22" s="3"/>
      <c r="P22" s="3"/>
      <c r="Q22" s="3"/>
      <c r="R22" s="3"/>
      <c r="S22" s="3"/>
    </row>
    <row r="23" spans="1:19" s="2" customFormat="1" ht="15.75" customHeight="1" x14ac:dyDescent="0.55000000000000004">
      <c r="A23" s="4"/>
      <c r="B23" s="5" t="s">
        <v>32</v>
      </c>
      <c r="C23" s="46">
        <v>27.5</v>
      </c>
      <c r="D23" s="3"/>
      <c r="E23" s="3"/>
      <c r="F23" s="3"/>
      <c r="G23" s="3"/>
      <c r="H23" s="3"/>
      <c r="I23" s="3"/>
      <c r="J23" s="3"/>
      <c r="K23" s="3"/>
      <c r="L23" s="3"/>
      <c r="M23" s="3"/>
      <c r="N23" s="3"/>
      <c r="O23" s="3"/>
      <c r="P23" s="3"/>
      <c r="Q23" s="3"/>
      <c r="R23" s="3"/>
      <c r="S23" s="3"/>
    </row>
    <row r="24" spans="1:19" s="2" customFormat="1" ht="15.75" customHeight="1" x14ac:dyDescent="0.55000000000000004">
      <c r="A24" s="4"/>
      <c r="B24" s="5" t="s">
        <v>33</v>
      </c>
      <c r="C24" s="46">
        <v>10.84</v>
      </c>
      <c r="D24" s="3"/>
      <c r="E24" s="3"/>
      <c r="F24" s="3"/>
      <c r="G24" s="3"/>
      <c r="H24" s="3"/>
      <c r="I24" s="3"/>
      <c r="J24" s="3"/>
      <c r="K24" s="3"/>
      <c r="L24" s="3"/>
      <c r="M24" s="3"/>
      <c r="N24" s="3"/>
      <c r="O24" s="3"/>
      <c r="P24" s="3"/>
      <c r="Q24" s="3"/>
      <c r="R24" s="3"/>
      <c r="S24" s="3"/>
    </row>
    <row r="25" spans="1:19" s="2" customFormat="1" ht="15.75" customHeight="1" x14ac:dyDescent="0.55000000000000004">
      <c r="A25" s="4"/>
      <c r="B25" s="5" t="s">
        <v>34</v>
      </c>
      <c r="C25" s="46">
        <v>14.58</v>
      </c>
      <c r="D25" s="3"/>
      <c r="E25" s="3"/>
      <c r="F25" s="3"/>
      <c r="G25" s="3"/>
      <c r="H25" s="3"/>
      <c r="I25" s="3"/>
      <c r="J25" s="3"/>
      <c r="K25" s="3"/>
      <c r="L25" s="3"/>
      <c r="M25" s="3"/>
      <c r="N25" s="3"/>
      <c r="O25" s="3"/>
      <c r="P25" s="3"/>
      <c r="Q25" s="3"/>
      <c r="R25" s="3"/>
      <c r="S25" s="3"/>
    </row>
    <row r="26" spans="1:19" s="2" customFormat="1" ht="15.75" customHeight="1" x14ac:dyDescent="0.55000000000000004">
      <c r="A26" s="4"/>
      <c r="B26" s="5" t="s">
        <v>35</v>
      </c>
      <c r="C26" s="46">
        <v>209.4</v>
      </c>
      <c r="D26" s="3"/>
      <c r="E26" s="3"/>
      <c r="F26" s="3"/>
      <c r="G26" s="3"/>
      <c r="H26" s="3"/>
      <c r="I26" s="3"/>
      <c r="J26" s="3"/>
      <c r="K26" s="3"/>
      <c r="L26" s="3"/>
      <c r="M26" s="3"/>
      <c r="N26" s="3"/>
      <c r="O26" s="3"/>
      <c r="P26" s="3"/>
      <c r="Q26" s="3"/>
      <c r="R26" s="3"/>
      <c r="S26" s="3"/>
    </row>
    <row r="27" spans="1:19" s="2" customFormat="1" ht="15.75" customHeight="1" x14ac:dyDescent="0.55000000000000004">
      <c r="A27" s="4"/>
      <c r="B27" s="5" t="s">
        <v>36</v>
      </c>
      <c r="C27" s="46">
        <v>56.25</v>
      </c>
      <c r="D27" s="3"/>
      <c r="E27" s="3"/>
      <c r="F27" s="3"/>
      <c r="G27" s="3"/>
      <c r="H27" s="3"/>
      <c r="I27" s="3"/>
      <c r="J27" s="3"/>
      <c r="K27" s="3"/>
      <c r="L27" s="3"/>
      <c r="M27" s="3"/>
      <c r="N27" s="3"/>
      <c r="O27" s="3"/>
      <c r="P27" s="3"/>
      <c r="Q27" s="3"/>
      <c r="R27" s="3"/>
      <c r="S27" s="3"/>
    </row>
    <row r="28" spans="1:19" s="2" customFormat="1" ht="15.75" customHeight="1" x14ac:dyDescent="0.55000000000000004">
      <c r="A28" s="4"/>
      <c r="B28" s="5" t="s">
        <v>142</v>
      </c>
      <c r="C28" s="46">
        <v>35.03</v>
      </c>
      <c r="D28" s="3"/>
      <c r="E28" s="3"/>
      <c r="F28" s="3"/>
      <c r="G28" s="3"/>
      <c r="H28" s="3"/>
      <c r="I28" s="3"/>
      <c r="J28" s="3"/>
      <c r="K28" s="3"/>
      <c r="L28" s="3"/>
      <c r="M28" s="3"/>
      <c r="N28" s="3"/>
      <c r="O28" s="3"/>
      <c r="P28" s="3"/>
      <c r="Q28" s="3"/>
      <c r="R28" s="3"/>
      <c r="S28" s="3"/>
    </row>
    <row r="29" spans="1:19" s="2" customFormat="1" ht="15.75" customHeight="1" x14ac:dyDescent="0.55000000000000004">
      <c r="A29" s="4"/>
      <c r="B29" s="5" t="s">
        <v>145</v>
      </c>
      <c r="C29" s="46">
        <v>54</v>
      </c>
      <c r="D29" s="3"/>
      <c r="E29" s="3"/>
      <c r="F29" s="3"/>
      <c r="G29" s="3"/>
      <c r="H29" s="3"/>
      <c r="I29" s="3"/>
      <c r="J29" s="3"/>
      <c r="K29" s="3"/>
      <c r="L29" s="3"/>
      <c r="M29" s="3"/>
      <c r="N29" s="3"/>
      <c r="O29" s="3"/>
      <c r="P29" s="3"/>
      <c r="Q29" s="3"/>
      <c r="R29" s="3"/>
      <c r="S29" s="3"/>
    </row>
    <row r="30" spans="1:19" s="2" customFormat="1" ht="15.75" customHeight="1" x14ac:dyDescent="0.55000000000000004">
      <c r="A30" s="4"/>
      <c r="B30" s="5" t="s">
        <v>143</v>
      </c>
      <c r="C30" s="48">
        <v>3.33</v>
      </c>
      <c r="D30" s="3"/>
      <c r="E30" s="3"/>
      <c r="F30" s="3"/>
      <c r="G30" s="3"/>
      <c r="H30" s="3"/>
      <c r="I30" s="3"/>
      <c r="J30" s="3"/>
      <c r="K30" s="3"/>
      <c r="L30" s="3"/>
      <c r="M30" s="3"/>
      <c r="N30" s="3"/>
      <c r="O30" s="3"/>
      <c r="P30" s="3"/>
      <c r="Q30" s="3"/>
      <c r="R30" s="3"/>
      <c r="S30" s="3"/>
    </row>
    <row r="31" spans="1:19" s="2" customFormat="1" ht="15.75" customHeight="1" x14ac:dyDescent="0.55000000000000004">
      <c r="A31" s="4"/>
      <c r="B31" s="13" t="s">
        <v>37</v>
      </c>
      <c r="C31" s="43">
        <f>SUM(C17:C30)+C14</f>
        <v>1138.8600000000001</v>
      </c>
      <c r="D31" s="3"/>
      <c r="E31" s="113"/>
      <c r="F31" s="3"/>
      <c r="G31" s="3"/>
      <c r="H31" s="3"/>
      <c r="I31" s="3"/>
      <c r="J31" s="3"/>
      <c r="K31" s="3"/>
      <c r="L31" s="3"/>
      <c r="M31" s="3"/>
      <c r="N31" s="3"/>
      <c r="O31" s="3"/>
      <c r="P31" s="3"/>
      <c r="Q31" s="3"/>
      <c r="R31" s="3"/>
      <c r="S31" s="3"/>
    </row>
    <row r="32" spans="1:19" s="2" customFormat="1" ht="15.75" customHeight="1" x14ac:dyDescent="0.55000000000000004">
      <c r="A32" s="4"/>
      <c r="B32" s="5" t="s">
        <v>144</v>
      </c>
      <c r="C32" s="34">
        <f>SUM((C31/2)*('Cost of Production'!C49/100))</f>
        <v>51.248700000000007</v>
      </c>
      <c r="D32" s="3"/>
      <c r="E32" s="3"/>
      <c r="F32" s="3"/>
      <c r="G32" s="3"/>
      <c r="H32" s="3"/>
      <c r="I32" s="3"/>
      <c r="J32" s="3"/>
      <c r="K32" s="3"/>
      <c r="L32" s="3"/>
      <c r="M32" s="3"/>
      <c r="N32" s="3"/>
      <c r="O32" s="3"/>
      <c r="P32" s="3"/>
      <c r="Q32" s="3"/>
      <c r="R32" s="3"/>
      <c r="S32" s="3"/>
    </row>
    <row r="33" spans="1:19" s="2" customFormat="1" ht="15.75" customHeight="1" x14ac:dyDescent="0.55000000000000004">
      <c r="A33" s="24" t="s">
        <v>39</v>
      </c>
      <c r="B33" s="24" t="s">
        <v>38</v>
      </c>
      <c r="C33" s="37">
        <f>C31+C32</f>
        <v>1190.1087000000002</v>
      </c>
      <c r="D33" s="3"/>
      <c r="E33" s="3"/>
      <c r="F33" s="3"/>
      <c r="G33" s="3"/>
      <c r="H33" s="3"/>
      <c r="I33" s="3"/>
      <c r="J33" s="3"/>
      <c r="K33" s="3"/>
      <c r="L33" s="3"/>
      <c r="M33" s="3"/>
      <c r="N33" s="3"/>
      <c r="O33" s="3"/>
      <c r="P33" s="3"/>
      <c r="Q33" s="3"/>
      <c r="R33" s="3"/>
      <c r="S33" s="3"/>
    </row>
    <row r="34" spans="1:19" s="2" customFormat="1" ht="15.75" customHeight="1" x14ac:dyDescent="0.55000000000000004">
      <c r="A34" s="4"/>
      <c r="B34" s="24"/>
      <c r="C34" s="36"/>
      <c r="D34" s="3"/>
      <c r="E34" s="3"/>
      <c r="F34" s="3"/>
      <c r="G34" s="3"/>
      <c r="H34" s="3"/>
      <c r="I34" s="3"/>
      <c r="J34" s="3"/>
      <c r="K34" s="3"/>
      <c r="L34" s="3"/>
      <c r="M34" s="3"/>
      <c r="N34" s="3"/>
      <c r="O34" s="3"/>
      <c r="P34" s="3"/>
      <c r="Q34" s="3"/>
      <c r="R34" s="3"/>
      <c r="S34" s="3"/>
    </row>
    <row r="35" spans="1:19" s="2" customFormat="1" ht="15.75" customHeight="1" x14ac:dyDescent="0.55000000000000004">
      <c r="A35" s="4"/>
      <c r="B35" s="4"/>
      <c r="C35" s="5"/>
      <c r="D35" s="3"/>
      <c r="E35" s="3"/>
      <c r="F35" s="3"/>
      <c r="G35" s="3"/>
      <c r="H35" s="3"/>
      <c r="I35" s="3"/>
      <c r="J35" s="3"/>
      <c r="K35" s="3"/>
      <c r="L35" s="3"/>
      <c r="M35" s="3"/>
      <c r="N35" s="3"/>
      <c r="O35" s="3"/>
      <c r="P35" s="3"/>
      <c r="Q35" s="3"/>
      <c r="R35" s="3"/>
      <c r="S35" s="3"/>
    </row>
    <row r="36" spans="1:19" s="2" customFormat="1" ht="15.75" customHeight="1" x14ac:dyDescent="0.55000000000000004">
      <c r="A36" s="4"/>
      <c r="B36" s="13" t="s">
        <v>146</v>
      </c>
      <c r="C36" s="5"/>
      <c r="D36" s="3"/>
      <c r="E36" s="3"/>
      <c r="F36" s="3"/>
      <c r="G36" s="3"/>
      <c r="H36" s="3"/>
      <c r="I36" s="3"/>
      <c r="J36" s="3"/>
      <c r="K36" s="3"/>
      <c r="L36" s="3"/>
      <c r="M36" s="3"/>
      <c r="N36" s="3"/>
      <c r="O36" s="3"/>
      <c r="P36" s="3"/>
      <c r="Q36" s="3"/>
      <c r="R36" s="3"/>
      <c r="S36" s="3"/>
    </row>
    <row r="37" spans="1:19" s="2" customFormat="1" ht="15.75" customHeight="1" x14ac:dyDescent="0.55000000000000004">
      <c r="A37" s="4"/>
      <c r="B37" s="5" t="s">
        <v>148</v>
      </c>
      <c r="C37" s="46">
        <v>64.47</v>
      </c>
      <c r="D37" s="3"/>
      <c r="E37" s="3"/>
      <c r="F37" s="3"/>
      <c r="G37" s="3"/>
      <c r="H37" s="3"/>
      <c r="I37" s="3"/>
      <c r="J37" s="3"/>
      <c r="K37" s="3"/>
      <c r="L37" s="3"/>
      <c r="M37" s="3"/>
      <c r="N37" s="3"/>
      <c r="O37" s="3"/>
      <c r="P37" s="3"/>
      <c r="Q37" s="3"/>
      <c r="R37" s="3"/>
      <c r="S37" s="3"/>
    </row>
    <row r="38" spans="1:19" s="2" customFormat="1" ht="15.75" customHeight="1" x14ac:dyDescent="0.55000000000000004">
      <c r="A38" s="4"/>
      <c r="B38" s="5" t="s">
        <v>149</v>
      </c>
      <c r="C38" s="46">
        <v>23.49</v>
      </c>
      <c r="D38" s="3"/>
      <c r="E38" s="3"/>
      <c r="F38" s="3"/>
      <c r="G38" s="3"/>
      <c r="H38" s="3"/>
      <c r="I38" s="3"/>
      <c r="J38" s="3"/>
      <c r="K38" s="3"/>
      <c r="L38" s="3"/>
      <c r="M38" s="3"/>
      <c r="N38" s="3"/>
      <c r="O38" s="3"/>
      <c r="P38" s="3"/>
      <c r="Q38" s="3"/>
      <c r="R38" s="3"/>
      <c r="S38" s="3"/>
    </row>
    <row r="39" spans="1:19" s="2" customFormat="1" ht="15.75" customHeight="1" x14ac:dyDescent="0.55000000000000004">
      <c r="A39" s="4"/>
      <c r="B39" s="5" t="s">
        <v>147</v>
      </c>
      <c r="C39" s="46">
        <v>94.31</v>
      </c>
      <c r="D39" s="3"/>
      <c r="E39" s="3"/>
      <c r="F39" s="3"/>
      <c r="G39" s="3"/>
      <c r="H39" s="3"/>
      <c r="I39" s="3"/>
      <c r="J39" s="3"/>
      <c r="K39" s="3"/>
      <c r="L39" s="3"/>
      <c r="M39" s="3"/>
      <c r="N39" s="3"/>
      <c r="O39" s="3"/>
      <c r="P39" s="3"/>
      <c r="Q39" s="3"/>
      <c r="R39" s="3"/>
      <c r="S39" s="3"/>
    </row>
    <row r="40" spans="1:19" s="2" customFormat="1" ht="15.75" customHeight="1" x14ac:dyDescent="0.55000000000000004">
      <c r="A40" s="4"/>
      <c r="B40" s="5" t="s">
        <v>150</v>
      </c>
      <c r="C40" s="46">
        <v>68.47</v>
      </c>
      <c r="D40" s="3"/>
      <c r="E40" s="3"/>
      <c r="F40" s="3"/>
      <c r="G40" s="3"/>
      <c r="H40" s="3"/>
      <c r="I40" s="3"/>
      <c r="J40" s="3"/>
      <c r="K40" s="3"/>
      <c r="L40" s="3"/>
      <c r="M40" s="3"/>
      <c r="N40" s="3"/>
      <c r="O40" s="3"/>
      <c r="P40" s="3"/>
      <c r="Q40" s="3"/>
      <c r="R40" s="3"/>
      <c r="S40" s="3"/>
    </row>
    <row r="41" spans="1:19" s="2" customFormat="1" ht="15.75" customHeight="1" x14ac:dyDescent="0.55000000000000004">
      <c r="A41" s="4"/>
      <c r="B41" s="24" t="s">
        <v>40</v>
      </c>
      <c r="C41" s="38">
        <f>SUM(C37:C40)</f>
        <v>250.73999999999998</v>
      </c>
      <c r="D41" s="3"/>
      <c r="E41" s="3"/>
      <c r="F41" s="3"/>
      <c r="G41" s="3"/>
      <c r="H41" s="3"/>
      <c r="I41" s="3"/>
      <c r="J41" s="3"/>
      <c r="K41" s="3"/>
      <c r="L41" s="3"/>
      <c r="M41" s="3"/>
      <c r="N41" s="3"/>
      <c r="O41" s="3"/>
      <c r="P41" s="3"/>
      <c r="Q41" s="3"/>
      <c r="R41" s="3"/>
      <c r="S41" s="3"/>
    </row>
    <row r="42" spans="1:19" s="2" customFormat="1" ht="15.75" customHeight="1" x14ac:dyDescent="0.55000000000000004">
      <c r="A42" s="4"/>
      <c r="B42" s="24" t="s">
        <v>41</v>
      </c>
      <c r="C42" s="37">
        <f>C33+C41</f>
        <v>1440.8487000000002</v>
      </c>
      <c r="D42" s="3"/>
      <c r="E42" s="3"/>
      <c r="F42" s="3"/>
      <c r="G42" s="3"/>
      <c r="H42" s="3"/>
      <c r="I42" s="3"/>
      <c r="J42" s="3"/>
      <c r="K42" s="3"/>
      <c r="L42" s="3"/>
      <c r="M42" s="3"/>
      <c r="N42" s="3"/>
      <c r="O42" s="3"/>
      <c r="P42" s="3"/>
      <c r="Q42" s="3"/>
      <c r="R42" s="3"/>
      <c r="S42" s="3"/>
    </row>
    <row r="43" spans="1:19" s="2" customFormat="1" ht="15.75" customHeight="1" x14ac:dyDescent="0.55000000000000004">
      <c r="A43" s="4"/>
      <c r="B43" s="24"/>
      <c r="C43" s="36"/>
      <c r="D43" s="3"/>
      <c r="E43" s="3"/>
      <c r="F43" s="3"/>
      <c r="G43" s="3"/>
      <c r="H43" s="3"/>
      <c r="I43" s="3"/>
      <c r="J43" s="3"/>
      <c r="K43" s="3"/>
      <c r="L43" s="3"/>
      <c r="M43" s="3"/>
      <c r="N43" s="3"/>
      <c r="O43" s="3"/>
      <c r="P43" s="3"/>
      <c r="Q43" s="3"/>
      <c r="R43" s="3"/>
      <c r="S43" s="3"/>
    </row>
    <row r="44" spans="1:19" s="2" customFormat="1" ht="15.75" customHeight="1" x14ac:dyDescent="0.55000000000000004">
      <c r="A44" s="24" t="s">
        <v>42</v>
      </c>
      <c r="B44" s="4"/>
      <c r="C44" s="48">
        <v>162</v>
      </c>
      <c r="D44" s="3"/>
      <c r="E44" s="3"/>
      <c r="F44" s="3"/>
      <c r="G44" s="3"/>
      <c r="H44" s="3"/>
      <c r="I44" s="3"/>
      <c r="J44" s="3"/>
      <c r="K44" s="3"/>
      <c r="L44" s="3"/>
      <c r="M44" s="3"/>
      <c r="N44" s="3"/>
      <c r="O44" s="3"/>
      <c r="P44" s="3"/>
      <c r="Q44" s="3"/>
      <c r="R44" s="3"/>
      <c r="S44" s="3"/>
    </row>
    <row r="45" spans="1:19" s="2" customFormat="1" ht="15.75" customHeight="1" x14ac:dyDescent="0.55000000000000004">
      <c r="A45" s="4"/>
      <c r="B45" s="4"/>
      <c r="C45" s="34"/>
      <c r="D45" s="3"/>
      <c r="E45" s="3"/>
      <c r="F45" s="3"/>
      <c r="G45" s="3"/>
      <c r="H45" s="3"/>
      <c r="I45" s="3"/>
      <c r="J45" s="3"/>
      <c r="K45" s="3"/>
      <c r="L45" s="3"/>
      <c r="M45" s="3"/>
      <c r="N45" s="3"/>
      <c r="O45" s="3"/>
      <c r="P45" s="3"/>
      <c r="Q45" s="3"/>
      <c r="R45" s="3"/>
      <c r="S45" s="3"/>
    </row>
    <row r="46" spans="1:19" s="2" customFormat="1" ht="15.75" customHeight="1" x14ac:dyDescent="0.55000000000000004">
      <c r="A46" s="24" t="s">
        <v>43</v>
      </c>
      <c r="B46"/>
      <c r="C46" s="37">
        <f>C42+C44</f>
        <v>1602.8487000000002</v>
      </c>
      <c r="D46" s="3"/>
      <c r="E46" s="3"/>
      <c r="F46" s="3"/>
      <c r="G46" s="3"/>
      <c r="H46" s="3"/>
      <c r="I46" s="3"/>
      <c r="J46" s="3"/>
      <c r="K46" s="3"/>
      <c r="L46" s="3"/>
      <c r="M46" s="3"/>
      <c r="N46" s="3"/>
      <c r="O46" s="3"/>
      <c r="P46" s="3"/>
      <c r="Q46" s="3"/>
      <c r="R46" s="3"/>
      <c r="S46" s="3"/>
    </row>
    <row r="47" spans="1:19" s="2" customFormat="1" ht="15.75" customHeight="1" x14ac:dyDescent="0.55000000000000004">
      <c r="A47" s="24"/>
      <c r="B47"/>
      <c r="C47"/>
      <c r="D47" s="3"/>
      <c r="E47" s="3"/>
      <c r="F47" s="3"/>
      <c r="G47" s="3"/>
      <c r="H47" s="3"/>
      <c r="I47" s="3"/>
      <c r="J47" s="3"/>
      <c r="K47" s="3"/>
      <c r="L47" s="3"/>
      <c r="M47" s="3"/>
      <c r="N47" s="3"/>
      <c r="O47" s="3"/>
      <c r="P47" s="3"/>
      <c r="Q47" s="3"/>
      <c r="R47" s="3"/>
      <c r="S47" s="3"/>
    </row>
    <row r="48" spans="1:19" s="2" customFormat="1" ht="15.75" customHeight="1" x14ac:dyDescent="0.55000000000000004">
      <c r="C48"/>
      <c r="D48" s="3"/>
      <c r="E48" s="3"/>
      <c r="F48" s="3"/>
      <c r="G48" s="3"/>
      <c r="H48" s="3"/>
      <c r="I48" s="3"/>
      <c r="J48" s="3"/>
      <c r="K48" s="3"/>
      <c r="L48" s="3"/>
      <c r="M48" s="3"/>
      <c r="N48" s="3"/>
      <c r="O48" s="3"/>
      <c r="P48" s="3"/>
      <c r="Q48" s="3"/>
      <c r="R48" s="3"/>
      <c r="S48" s="3"/>
    </row>
    <row r="49" spans="1:4" x14ac:dyDescent="0.5">
      <c r="A49" s="5" t="s">
        <v>6</v>
      </c>
      <c r="C49" s="11">
        <v>9</v>
      </c>
      <c r="D49" s="10" t="s">
        <v>4</v>
      </c>
    </row>
    <row r="50" spans="1:4" x14ac:dyDescent="0.5">
      <c r="A50" s="5" t="s">
        <v>89</v>
      </c>
      <c r="C50" s="76">
        <v>575</v>
      </c>
      <c r="D50" s="5" t="s">
        <v>5</v>
      </c>
    </row>
    <row r="51" spans="1:4" x14ac:dyDescent="0.5">
      <c r="A51" s="74" t="s">
        <v>124</v>
      </c>
      <c r="C51" s="114">
        <v>95</v>
      </c>
      <c r="D51" s="10" t="s">
        <v>4</v>
      </c>
    </row>
    <row r="53" spans="1:4" x14ac:dyDescent="0.5">
      <c r="A53" s="75" t="s">
        <v>126</v>
      </c>
      <c r="C53" s="115" t="s">
        <v>125</v>
      </c>
    </row>
    <row r="54" spans="1:4" x14ac:dyDescent="0.5">
      <c r="B54" s="74" t="s">
        <v>48</v>
      </c>
      <c r="C54" s="116">
        <f>SUM((C33/($C$51/100))/($C$50/100))</f>
        <v>217.86886956521744</v>
      </c>
    </row>
    <row r="55" spans="1:4" x14ac:dyDescent="0.5">
      <c r="B55" s="74" t="s">
        <v>58</v>
      </c>
      <c r="C55" s="116">
        <f>SUM(((C33+C44)/($C$51/100))/($C$50/100))</f>
        <v>247.52562013729985</v>
      </c>
    </row>
    <row r="56" spans="1:4" x14ac:dyDescent="0.5">
      <c r="B56" s="74" t="s">
        <v>49</v>
      </c>
      <c r="C56" s="116">
        <f>SUM((C42/($C$51/100))/($C$50/100))</f>
        <v>263.77092906178495</v>
      </c>
    </row>
    <row r="57" spans="1:4" x14ac:dyDescent="0.5">
      <c r="B57" s="74" t="s">
        <v>127</v>
      </c>
      <c r="C57" s="116">
        <f>SUM((C46/($C$51/100))/($C$50/100))</f>
        <v>293.42767963386734</v>
      </c>
    </row>
  </sheetData>
  <sheetProtection algorithmName="SHA-512" hashValue="YXh58Wxocd+k/3HpdsnKcgp8w6XHDXDcJYJacLApKekpIUIXB7P8o51+V22wqCNk1JQy50HtUSasma8yOhzxJQ==" saltValue="mYD5mVEilFNHscYVT5hEyg==" spinCount="100000" sheet="1"/>
  <mergeCells count="1">
    <mergeCell ref="A3:I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84"/>
  <sheetViews>
    <sheetView topLeftCell="A64" zoomScaleNormal="100" workbookViewId="0">
      <selection activeCell="B84" sqref="B84"/>
    </sheetView>
  </sheetViews>
  <sheetFormatPr defaultRowHeight="15" x14ac:dyDescent="0.5"/>
  <cols>
    <col min="1" max="1" width="2.81640625" customWidth="1"/>
    <col min="2" max="2" width="66.6328125" customWidth="1"/>
  </cols>
  <sheetData>
    <row r="1" spans="2:22" x14ac:dyDescent="0.5">
      <c r="B1" s="75" t="s">
        <v>157</v>
      </c>
    </row>
    <row r="2" spans="2:22" x14ac:dyDescent="0.5">
      <c r="B2" t="str">
        <f>' LPI Calculator'!A9</f>
        <v>Insured Index ($/cwt)</v>
      </c>
      <c r="C2" s="98">
        <f>' LPI Calculator'!C9</f>
        <v>392</v>
      </c>
      <c r="D2" s="98">
        <f>' LPI Calculator'!D9</f>
        <v>390</v>
      </c>
      <c r="E2" s="98">
        <f>' LPI Calculator'!E9</f>
        <v>388</v>
      </c>
      <c r="F2" s="98">
        <f>' LPI Calculator'!F9</f>
        <v>386</v>
      </c>
      <c r="G2" s="98">
        <f>' LPI Calculator'!G9</f>
        <v>384</v>
      </c>
      <c r="H2" s="98">
        <f>' LPI Calculator'!H9</f>
        <v>382</v>
      </c>
      <c r="I2" s="98">
        <f>' LPI Calculator'!I9</f>
        <v>380</v>
      </c>
      <c r="J2" s="98">
        <f>' LPI Calculator'!J9</f>
        <v>378</v>
      </c>
      <c r="K2" s="98">
        <f>' LPI Calculator'!K9</f>
        <v>376</v>
      </c>
      <c r="L2" s="98">
        <f>' LPI Calculator'!L9</f>
        <v>374</v>
      </c>
      <c r="M2" s="98">
        <f>' LPI Calculator'!M9</f>
        <v>372</v>
      </c>
      <c r="N2" s="98">
        <f>' LPI Calculator'!N9</f>
        <v>370</v>
      </c>
      <c r="O2" s="98">
        <f>' LPI Calculator'!O9</f>
        <v>368</v>
      </c>
      <c r="P2" s="98">
        <f>' LPI Calculator'!P9</f>
        <v>366</v>
      </c>
      <c r="Q2" s="98">
        <f>' LPI Calculator'!Q9</f>
        <v>364</v>
      </c>
      <c r="R2" s="98">
        <f>' LPI Calculator'!R9</f>
        <v>362</v>
      </c>
      <c r="S2" s="98">
        <f>' LPI Calculator'!S9</f>
        <v>360</v>
      </c>
      <c r="T2" s="98">
        <f>' LPI Calculator'!T9</f>
        <v>358</v>
      </c>
      <c r="U2" s="98">
        <f>' LPI Calculator'!U9</f>
        <v>356</v>
      </c>
      <c r="V2" s="98">
        <f>' LPI Calculator'!V9</f>
        <v>354</v>
      </c>
    </row>
    <row r="3" spans="2:22" x14ac:dyDescent="0.5">
      <c r="B3" s="74" t="s">
        <v>48</v>
      </c>
      <c r="C3" s="99" t="e">
        <f>IF(OR(' LPI Calculator'!C40="-",' LPI Calculator'!C40=""), #N/A,' LPI Calculator'!C40)</f>
        <v>#N/A</v>
      </c>
      <c r="D3" s="99" t="e">
        <f>IF(OR(' LPI Calculator'!D40="-",' LPI Calculator'!D40=""), #N/A,' LPI Calculator'!D40)</f>
        <v>#N/A</v>
      </c>
      <c r="E3" s="99" t="e">
        <f>IF(OR(' LPI Calculator'!E40="-",' LPI Calculator'!E40=""), #N/A,' LPI Calculator'!E40)</f>
        <v>#N/A</v>
      </c>
      <c r="F3" s="99" t="e">
        <f>IF(OR(' LPI Calculator'!F40="-",' LPI Calculator'!F40=""), #N/A,' LPI Calculator'!F40)</f>
        <v>#N/A</v>
      </c>
      <c r="G3" s="99" t="e">
        <f>IF(OR(' LPI Calculator'!G40="-",' LPI Calculator'!G40=""), #N/A,' LPI Calculator'!G40)</f>
        <v>#N/A</v>
      </c>
      <c r="H3" s="99" t="e">
        <f>IF(OR(' LPI Calculator'!H40="-",' LPI Calculator'!H40=""), #N/A,' LPI Calculator'!H40)</f>
        <v>#N/A</v>
      </c>
      <c r="I3" s="99" t="e">
        <f>IF(OR(' LPI Calculator'!I40="-",' LPI Calculator'!I40=""), #N/A,' LPI Calculator'!I40)</f>
        <v>#N/A</v>
      </c>
      <c r="J3" s="99" t="e">
        <f>IF(OR(' LPI Calculator'!J40="-",' LPI Calculator'!J40=""), #N/A,' LPI Calculator'!J40)</f>
        <v>#N/A</v>
      </c>
      <c r="K3" s="99" t="e">
        <f>IF(OR(' LPI Calculator'!K40="-",' LPI Calculator'!K40=""), #N/A,' LPI Calculator'!K40)</f>
        <v>#N/A</v>
      </c>
      <c r="L3" s="99" t="e">
        <f>IF(OR(' LPI Calculator'!L40="-",' LPI Calculator'!L40=""), #N/A,' LPI Calculator'!L40)</f>
        <v>#N/A</v>
      </c>
      <c r="M3" s="99" t="e">
        <f>IF(OR(' LPI Calculator'!M40="-",' LPI Calculator'!M40=""), #N/A,' LPI Calculator'!M40)</f>
        <v>#N/A</v>
      </c>
      <c r="N3" s="99" t="e">
        <f>IF(OR(' LPI Calculator'!N40="-",' LPI Calculator'!N40=""), #N/A,' LPI Calculator'!N40)</f>
        <v>#N/A</v>
      </c>
      <c r="O3" s="99" t="e">
        <f>IF(OR(' LPI Calculator'!O40="-",' LPI Calculator'!O40=""), #N/A,' LPI Calculator'!O40)</f>
        <v>#N/A</v>
      </c>
      <c r="P3" s="99" t="e">
        <f>IF(OR(' LPI Calculator'!P40="-",' LPI Calculator'!P40=""), #N/A,' LPI Calculator'!P40)</f>
        <v>#N/A</v>
      </c>
      <c r="Q3" s="99" t="e">
        <f>IF(OR(' LPI Calculator'!Q40="-",' LPI Calculator'!Q40=""), #N/A,' LPI Calculator'!Q40)</f>
        <v>#N/A</v>
      </c>
      <c r="R3" s="99" t="e">
        <f>IF(OR(' LPI Calculator'!R40="-",' LPI Calculator'!R40=""), #N/A,' LPI Calculator'!R40)</f>
        <v>#N/A</v>
      </c>
      <c r="S3" s="99" t="e">
        <f>IF(OR(' LPI Calculator'!S40="-",' LPI Calculator'!S40=""), #N/A,' LPI Calculator'!S40)</f>
        <v>#N/A</v>
      </c>
      <c r="T3" s="99" t="e">
        <f>IF(OR(' LPI Calculator'!T40="-",' LPI Calculator'!T40=""), #N/A,' LPI Calculator'!T40)</f>
        <v>#N/A</v>
      </c>
      <c r="U3" s="99" t="e">
        <f>IF(OR(' LPI Calculator'!U40="-",' LPI Calculator'!U40=""), #N/A,' LPI Calculator'!U40)</f>
        <v>#N/A</v>
      </c>
      <c r="V3" s="99" t="e">
        <f>IF(OR(' LPI Calculator'!V40="-",' LPI Calculator'!V40=""), #N/A,' LPI Calculator'!V40)</f>
        <v>#N/A</v>
      </c>
    </row>
    <row r="4" spans="2:22" x14ac:dyDescent="0.5">
      <c r="B4" s="74" t="s">
        <v>88</v>
      </c>
      <c r="C4" s="99" t="e">
        <f>IF(OR(' LPI Calculator'!C42="-",' LPI Calculator'!C42=""), #N/A,' LPI Calculator'!C42-IF(' LPI Calculator'!C40="-",0,' LPI Calculator'!C40))</f>
        <v>#N/A</v>
      </c>
      <c r="D4" s="99" t="e">
        <f>IF(OR(' LPI Calculator'!D42="-",' LPI Calculator'!D42=""), #N/A,' LPI Calculator'!D42-IF(' LPI Calculator'!D40="-",0,' LPI Calculator'!D40))</f>
        <v>#N/A</v>
      </c>
      <c r="E4" s="99" t="e">
        <f>IF(OR(' LPI Calculator'!E42="-",' LPI Calculator'!E42=""), #N/A,' LPI Calculator'!E42-IF(' LPI Calculator'!E40="-",0,' LPI Calculator'!E40))</f>
        <v>#N/A</v>
      </c>
      <c r="F4" s="99" t="e">
        <f>IF(OR(' LPI Calculator'!F42="-",' LPI Calculator'!F42=""), #N/A,' LPI Calculator'!F42-IF(' LPI Calculator'!F40="-",0,' LPI Calculator'!F40))</f>
        <v>#N/A</v>
      </c>
      <c r="G4" s="99" t="e">
        <f>IF(OR(' LPI Calculator'!G42="-",' LPI Calculator'!G42=""), #N/A,' LPI Calculator'!G42-IF(' LPI Calculator'!G40="-",0,' LPI Calculator'!G40))</f>
        <v>#N/A</v>
      </c>
      <c r="H4" s="99" t="e">
        <f>IF(OR(' LPI Calculator'!H42="-",' LPI Calculator'!H42=""), #N/A,' LPI Calculator'!H42-IF(' LPI Calculator'!H40="-",0,' LPI Calculator'!H40))</f>
        <v>#N/A</v>
      </c>
      <c r="I4" s="99" t="e">
        <f>IF(OR(' LPI Calculator'!I42="-",' LPI Calculator'!I42=""), #N/A,' LPI Calculator'!I42-IF(' LPI Calculator'!I40="-",0,' LPI Calculator'!I40))</f>
        <v>#N/A</v>
      </c>
      <c r="J4" s="99" t="e">
        <f>IF(OR(' LPI Calculator'!J42="-",' LPI Calculator'!J42=""), #N/A,' LPI Calculator'!J42-IF(' LPI Calculator'!J40="-",0,' LPI Calculator'!J40))</f>
        <v>#N/A</v>
      </c>
      <c r="K4" s="99" t="e">
        <f>IF(OR(' LPI Calculator'!K42="-",' LPI Calculator'!K42=""), #N/A,' LPI Calculator'!K42-IF(' LPI Calculator'!K40="-",0,' LPI Calculator'!K40))</f>
        <v>#N/A</v>
      </c>
      <c r="L4" s="99" t="e">
        <f>IF(OR(' LPI Calculator'!L42="-",' LPI Calculator'!L42=""), #N/A,' LPI Calculator'!L42-IF(' LPI Calculator'!L40="-",0,' LPI Calculator'!L40))</f>
        <v>#N/A</v>
      </c>
      <c r="M4" s="99" t="e">
        <f>IF(OR(' LPI Calculator'!M42="-",' LPI Calculator'!M42=""), #N/A,' LPI Calculator'!M42-IF(' LPI Calculator'!M40="-",0,' LPI Calculator'!M40))</f>
        <v>#N/A</v>
      </c>
      <c r="N4" s="99" t="e">
        <f>IF(OR(' LPI Calculator'!N42="-",' LPI Calculator'!N42=""), #N/A,' LPI Calculator'!N42-IF(' LPI Calculator'!N40="-",0,' LPI Calculator'!N40))</f>
        <v>#N/A</v>
      </c>
      <c r="O4" s="99" t="e">
        <f>IF(OR(' LPI Calculator'!O42="-",' LPI Calculator'!O42=""), #N/A,' LPI Calculator'!O42-IF(' LPI Calculator'!O40="-",0,' LPI Calculator'!O40))</f>
        <v>#N/A</v>
      </c>
      <c r="P4" s="99" t="e">
        <f>IF(OR(' LPI Calculator'!P42="-",' LPI Calculator'!P42=""), #N/A,' LPI Calculator'!P42-IF(' LPI Calculator'!P40="-",0,' LPI Calculator'!P40))</f>
        <v>#N/A</v>
      </c>
      <c r="Q4" s="99" t="e">
        <f>IF(OR(' LPI Calculator'!Q42="-",' LPI Calculator'!Q42=""), #N/A,' LPI Calculator'!Q42-IF(' LPI Calculator'!Q40="-",0,' LPI Calculator'!Q40))</f>
        <v>#N/A</v>
      </c>
      <c r="R4" s="99" t="e">
        <f>IF(OR(' LPI Calculator'!R42="-",' LPI Calculator'!R42=""), #N/A,' LPI Calculator'!R42-IF(' LPI Calculator'!R40="-",0,' LPI Calculator'!R40))</f>
        <v>#N/A</v>
      </c>
      <c r="S4" s="99" t="e">
        <f>IF(OR(' LPI Calculator'!S42="-",' LPI Calculator'!S42=""), #N/A,' LPI Calculator'!S42-IF(' LPI Calculator'!S40="-",0,' LPI Calculator'!S40))</f>
        <v>#N/A</v>
      </c>
      <c r="T4" s="99" t="e">
        <f>IF(OR(' LPI Calculator'!T42="-",' LPI Calculator'!T42=""), #N/A,' LPI Calculator'!T42-IF(' LPI Calculator'!T40="-",0,' LPI Calculator'!T40))</f>
        <v>#N/A</v>
      </c>
      <c r="U4" s="99" t="e">
        <f>IF(OR(' LPI Calculator'!U42="-",' LPI Calculator'!U42=""), #N/A,' LPI Calculator'!U42-IF(' LPI Calculator'!U40="-",0,' LPI Calculator'!U40))</f>
        <v>#N/A</v>
      </c>
      <c r="V4" s="99" t="e">
        <f>IF(OR(' LPI Calculator'!V42="-",' LPI Calculator'!V42=""), #N/A,' LPI Calculator'!V42-IF(' LPI Calculator'!V40="-",0,' LPI Calculator'!V40))</f>
        <v>#N/A</v>
      </c>
    </row>
    <row r="5" spans="2:22" x14ac:dyDescent="0.5">
      <c r="B5" s="74" t="s">
        <v>87</v>
      </c>
      <c r="C5" s="99" t="e">
        <f>IF(OR(' LPI Calculator'!C43="-",' LPI Calculator'!C43=""), #N/A,' LPI Calculator'!C43-IF(' LPI Calculator'!C42="-",0,' LPI Calculator'!C42))</f>
        <v>#N/A</v>
      </c>
      <c r="D5" s="99" t="e">
        <f>IF(OR(' LPI Calculator'!D43="-",' LPI Calculator'!D43=""), #N/A,' LPI Calculator'!D43-IF(' LPI Calculator'!D42="-",0,' LPI Calculator'!D42))</f>
        <v>#N/A</v>
      </c>
      <c r="E5" s="99" t="e">
        <f>IF(OR(' LPI Calculator'!E43="-",' LPI Calculator'!E43=""), #N/A,' LPI Calculator'!E43-IF(' LPI Calculator'!E42="-",0,' LPI Calculator'!E42))</f>
        <v>#N/A</v>
      </c>
      <c r="F5" s="99" t="e">
        <f>IF(OR(' LPI Calculator'!F43="-",' LPI Calculator'!F43=""), #N/A,' LPI Calculator'!F43-IF(' LPI Calculator'!F42="-",0,' LPI Calculator'!F42))</f>
        <v>#N/A</v>
      </c>
      <c r="G5" s="99" t="e">
        <f>IF(OR(' LPI Calculator'!G43="-",' LPI Calculator'!G43=""), #N/A,' LPI Calculator'!G43-IF(' LPI Calculator'!G42="-",0,' LPI Calculator'!G42))</f>
        <v>#N/A</v>
      </c>
      <c r="H5" s="99" t="e">
        <f>IF(OR(' LPI Calculator'!H43="-",' LPI Calculator'!H43=""), #N/A,' LPI Calculator'!H43-IF(' LPI Calculator'!H42="-",0,' LPI Calculator'!H42))</f>
        <v>#N/A</v>
      </c>
      <c r="I5" s="99" t="e">
        <f>IF(OR(' LPI Calculator'!I43="-",' LPI Calculator'!I43=""), #N/A,' LPI Calculator'!I43-IF(' LPI Calculator'!I42="-",0,' LPI Calculator'!I42))</f>
        <v>#N/A</v>
      </c>
      <c r="J5" s="99" t="e">
        <f>IF(OR(' LPI Calculator'!J43="-",' LPI Calculator'!J43=""), #N/A,' LPI Calculator'!J43-IF(' LPI Calculator'!J42="-",0,' LPI Calculator'!J42))</f>
        <v>#N/A</v>
      </c>
      <c r="K5" s="99" t="e">
        <f>IF(OR(' LPI Calculator'!K43="-",' LPI Calculator'!K43=""), #N/A,' LPI Calculator'!K43-IF(' LPI Calculator'!K42="-",0,' LPI Calculator'!K42))</f>
        <v>#N/A</v>
      </c>
      <c r="L5" s="99" t="e">
        <f>IF(OR(' LPI Calculator'!L43="-",' LPI Calculator'!L43=""), #N/A,' LPI Calculator'!L43-IF(' LPI Calculator'!L42="-",0,' LPI Calculator'!L42))</f>
        <v>#N/A</v>
      </c>
      <c r="M5" s="99" t="e">
        <f>IF(OR(' LPI Calculator'!M43="-",' LPI Calculator'!M43=""), #N/A,' LPI Calculator'!M43-IF(' LPI Calculator'!M42="-",0,' LPI Calculator'!M42))</f>
        <v>#N/A</v>
      </c>
      <c r="N5" s="99" t="e">
        <f>IF(OR(' LPI Calculator'!N43="-",' LPI Calculator'!N43=""), #N/A,' LPI Calculator'!N43-IF(' LPI Calculator'!N42="-",0,' LPI Calculator'!N42))</f>
        <v>#N/A</v>
      </c>
      <c r="O5" s="99" t="e">
        <f>IF(OR(' LPI Calculator'!O43="-",' LPI Calculator'!O43=""), #N/A,' LPI Calculator'!O43-IF(' LPI Calculator'!O42="-",0,' LPI Calculator'!O42))</f>
        <v>#N/A</v>
      </c>
      <c r="P5" s="99" t="e">
        <f>IF(OR(' LPI Calculator'!P43="-",' LPI Calculator'!P43=""), #N/A,' LPI Calculator'!P43-IF(' LPI Calculator'!P42="-",0,' LPI Calculator'!P42))</f>
        <v>#N/A</v>
      </c>
      <c r="Q5" s="99" t="e">
        <f>IF(OR(' LPI Calculator'!Q43="-",' LPI Calculator'!Q43=""), #N/A,' LPI Calculator'!Q43-IF(' LPI Calculator'!Q42="-",0,' LPI Calculator'!Q42))</f>
        <v>#N/A</v>
      </c>
      <c r="R5" s="99" t="e">
        <f>IF(OR(' LPI Calculator'!R43="-",' LPI Calculator'!R43=""), #N/A,' LPI Calculator'!R43-IF(' LPI Calculator'!R42="-",0,' LPI Calculator'!R42))</f>
        <v>#N/A</v>
      </c>
      <c r="S5" s="99" t="e">
        <f>IF(OR(' LPI Calculator'!S43="-",' LPI Calculator'!S43=""), #N/A,' LPI Calculator'!S43-IF(' LPI Calculator'!S42="-",0,' LPI Calculator'!S42))</f>
        <v>#N/A</v>
      </c>
      <c r="T5" s="99" t="e">
        <f>IF(OR(' LPI Calculator'!T43="-",' LPI Calculator'!T43=""), #N/A,' LPI Calculator'!T43-IF(' LPI Calculator'!T42="-",0,' LPI Calculator'!T42))</f>
        <v>#N/A</v>
      </c>
      <c r="U5" s="99" t="e">
        <f>IF(OR(' LPI Calculator'!U43="-",' LPI Calculator'!U43=""), #N/A,' LPI Calculator'!U43-IF(' LPI Calculator'!U42="-",0,' LPI Calculator'!U42))</f>
        <v>#N/A</v>
      </c>
      <c r="V5" s="99" t="e">
        <f>IF(OR(' LPI Calculator'!V43="-",' LPI Calculator'!V43=""), #N/A,' LPI Calculator'!V43-IF(' LPI Calculator'!V42="-",0,' LPI Calculator'!V42))</f>
        <v>#N/A</v>
      </c>
    </row>
    <row r="7" spans="2:22" x14ac:dyDescent="0.5">
      <c r="B7" s="75" t="s">
        <v>158</v>
      </c>
    </row>
    <row r="8" spans="2:22" x14ac:dyDescent="0.5">
      <c r="B8" t="str">
        <f>' LPI Calculator'!A9</f>
        <v>Insured Index ($/cwt)</v>
      </c>
      <c r="C8" s="73">
        <f>' LPI Calculator'!C9</f>
        <v>392</v>
      </c>
      <c r="D8" s="73">
        <f>' LPI Calculator'!D9</f>
        <v>390</v>
      </c>
      <c r="E8" s="73">
        <f>' LPI Calculator'!E9</f>
        <v>388</v>
      </c>
      <c r="F8" s="73">
        <f>' LPI Calculator'!F9</f>
        <v>386</v>
      </c>
      <c r="G8" s="73">
        <f>' LPI Calculator'!G9</f>
        <v>384</v>
      </c>
      <c r="H8" s="73">
        <f>' LPI Calculator'!H9</f>
        <v>382</v>
      </c>
      <c r="I8" s="73">
        <f>' LPI Calculator'!I9</f>
        <v>380</v>
      </c>
      <c r="J8" s="73">
        <f>' LPI Calculator'!J9</f>
        <v>378</v>
      </c>
      <c r="K8" s="73">
        <f>' LPI Calculator'!K9</f>
        <v>376</v>
      </c>
      <c r="L8" s="73">
        <f>' LPI Calculator'!L9</f>
        <v>374</v>
      </c>
      <c r="M8" s="73">
        <f>' LPI Calculator'!M9</f>
        <v>372</v>
      </c>
      <c r="N8" s="73">
        <f>' LPI Calculator'!N9</f>
        <v>370</v>
      </c>
      <c r="O8" s="73">
        <f>' LPI Calculator'!O9</f>
        <v>368</v>
      </c>
      <c r="P8" s="73">
        <f>' LPI Calculator'!P9</f>
        <v>366</v>
      </c>
      <c r="Q8" s="73">
        <f>' LPI Calculator'!Q9</f>
        <v>364</v>
      </c>
      <c r="R8" s="73">
        <f>' LPI Calculator'!R9</f>
        <v>362</v>
      </c>
      <c r="S8" s="73">
        <f>' LPI Calculator'!S9</f>
        <v>360</v>
      </c>
      <c r="T8" s="73">
        <f>' LPI Calculator'!T9</f>
        <v>358</v>
      </c>
      <c r="U8" s="73">
        <f>' LPI Calculator'!U9</f>
        <v>356</v>
      </c>
      <c r="V8" s="73">
        <f>' LPI Calculator'!V9</f>
        <v>354</v>
      </c>
    </row>
    <row r="9" spans="2:22" x14ac:dyDescent="0.5">
      <c r="B9" t="str">
        <f>' LPI Calculator'!A20</f>
        <v>Premium Cost ($/head @ 575 lbs)</v>
      </c>
      <c r="C9" s="77">
        <f>IF(' LPI Calculator'!C20="", #N/A,' LPI Calculator'!C20)</f>
        <v>67.39</v>
      </c>
      <c r="D9" s="77">
        <f>IF(' LPI Calculator'!D20="", #N/A,' LPI Calculator'!D20)</f>
        <v>60.949999999999996</v>
      </c>
      <c r="E9" s="77">
        <f>IF(' LPI Calculator'!E20="", #N/A,' LPI Calculator'!E20)</f>
        <v>54.854999999999997</v>
      </c>
      <c r="F9" s="77">
        <f>IF(' LPI Calculator'!F20="", #N/A,' LPI Calculator'!F20)</f>
        <v>48.472499999999997</v>
      </c>
      <c r="G9" s="77">
        <f>IF(' LPI Calculator'!G20="", #N/A,' LPI Calculator'!G20)</f>
        <v>42.377499999999998</v>
      </c>
      <c r="H9" s="77">
        <f>IF(' LPI Calculator'!H20="", #N/A,' LPI Calculator'!H20)</f>
        <v>37.662500000000001</v>
      </c>
      <c r="I9" s="77">
        <f>IF(' LPI Calculator'!I20="", #N/A,' LPI Calculator'!I20)</f>
        <v>32.142499999999998</v>
      </c>
      <c r="J9" s="77">
        <f>IF(' LPI Calculator'!J20="", #N/A,' LPI Calculator'!J20)</f>
        <v>28.002500000000001</v>
      </c>
      <c r="K9" s="77">
        <f>IF(' LPI Calculator'!K20="", #N/A,' LPI Calculator'!K20)</f>
        <v>23.344999999999999</v>
      </c>
      <c r="L9" s="77">
        <f>IF(' LPI Calculator'!L20="", #N/A,' LPI Calculator'!L20)</f>
        <v>19.377500000000001</v>
      </c>
      <c r="M9" s="77">
        <f>IF(' LPI Calculator'!M20="", #N/A,' LPI Calculator'!M20)</f>
        <v>18.285</v>
      </c>
      <c r="N9" s="77">
        <f>IF(' LPI Calculator'!N20="", #N/A,' LPI Calculator'!N20)</f>
        <v>16.962500000000002</v>
      </c>
      <c r="O9" s="77">
        <f>IF(' LPI Calculator'!O20="", #N/A,' LPI Calculator'!O20)</f>
        <v>16.215</v>
      </c>
      <c r="P9" s="77">
        <f>IF(' LPI Calculator'!P20="", #N/A,' LPI Calculator'!P20)</f>
        <v>15.467499999999999</v>
      </c>
      <c r="Q9" s="77">
        <f>IF(' LPI Calculator'!Q20="", #N/A,' LPI Calculator'!Q20)</f>
        <v>14.7775</v>
      </c>
      <c r="R9" s="77" t="e">
        <f>IF(' LPI Calculator'!R20="", #N/A,' LPI Calculator'!R20)</f>
        <v>#N/A</v>
      </c>
      <c r="S9" s="77" t="e">
        <f>IF(' LPI Calculator'!S20="", #N/A,' LPI Calculator'!S20)</f>
        <v>#N/A</v>
      </c>
      <c r="T9" s="77" t="e">
        <f>IF(' LPI Calculator'!T20="", #N/A,' LPI Calculator'!T20)</f>
        <v>#N/A</v>
      </c>
      <c r="U9" s="77" t="e">
        <f>IF(' LPI Calculator'!U20="", #N/A,' LPI Calculator'!U20)</f>
        <v>#N/A</v>
      </c>
      <c r="V9" s="77" t="e">
        <f>IF(' LPI Calculator'!V20="", #N/A,' LPI Calculator'!V20)</f>
        <v>#N/A</v>
      </c>
    </row>
    <row r="10" spans="2:22" x14ac:dyDescent="0.5">
      <c r="B10" t="str">
        <f>' LPI Calculator'!A23</f>
        <v>Premium Cost (% of Insured Value)</v>
      </c>
      <c r="C10" s="78">
        <f>IF(' LPI Calculator'!C23="", #N/A,' LPI Calculator'!C23)</f>
        <v>2.9897959183673471E-2</v>
      </c>
      <c r="D10" s="78">
        <f>IF(' LPI Calculator'!D23="", #N/A,' LPI Calculator'!D23)</f>
        <v>2.7179487179487177E-2</v>
      </c>
      <c r="E10" s="78">
        <f>IF(' LPI Calculator'!E23="", #N/A,' LPI Calculator'!E23)</f>
        <v>2.4587628865979379E-2</v>
      </c>
      <c r="F10" s="78">
        <f>IF(' LPI Calculator'!F23="", #N/A,' LPI Calculator'!F23)</f>
        <v>2.1839378238341967E-2</v>
      </c>
      <c r="G10" s="78">
        <f>IF(' LPI Calculator'!G23="", #N/A,' LPI Calculator'!G23)</f>
        <v>1.9192708333333332E-2</v>
      </c>
      <c r="H10" s="78">
        <f>IF(' LPI Calculator'!H23="", #N/A,' LPI Calculator'!H23)</f>
        <v>1.7146596858638743E-2</v>
      </c>
      <c r="I10" s="78">
        <f>IF(' LPI Calculator'!I23="", #N/A,' LPI Calculator'!I23)</f>
        <v>1.4710526315789473E-2</v>
      </c>
      <c r="J10" s="78">
        <f>IF(' LPI Calculator'!J23="", #N/A,' LPI Calculator'!J23)</f>
        <v>1.2883597883597884E-2</v>
      </c>
      <c r="K10" s="78">
        <f>IF(' LPI Calculator'!K23="", #N/A,' LPI Calculator'!K23)</f>
        <v>1.0797872340425532E-2</v>
      </c>
      <c r="L10" s="78">
        <f>IF(' LPI Calculator'!L23="", #N/A,' LPI Calculator'!L23)</f>
        <v>9.0106951871657768E-3</v>
      </c>
      <c r="M10" s="78">
        <f>IF(' LPI Calculator'!M23="", #N/A,' LPI Calculator'!M23)</f>
        <v>8.5483870967741939E-3</v>
      </c>
      <c r="N10" s="78">
        <f>IF(' LPI Calculator'!N23="", #N/A,' LPI Calculator'!N23)</f>
        <v>7.9729729729729748E-3</v>
      </c>
      <c r="O10" s="78">
        <f>IF(' LPI Calculator'!O23="", #N/A,' LPI Calculator'!O23)</f>
        <v>7.6630434782608697E-3</v>
      </c>
      <c r="P10" s="78">
        <f>IF(' LPI Calculator'!P23="", #N/A,' LPI Calculator'!P23)</f>
        <v>7.3497267759562836E-3</v>
      </c>
      <c r="Q10" s="78">
        <f>IF(' LPI Calculator'!Q23="", #N/A,' LPI Calculator'!Q23)</f>
        <v>7.0604395604395602E-3</v>
      </c>
      <c r="R10" s="78" t="e">
        <f>IF(' LPI Calculator'!R23="", #N/A,' LPI Calculator'!R23)</f>
        <v>#N/A</v>
      </c>
      <c r="S10" s="78" t="e">
        <f>IF(' LPI Calculator'!S23="", #N/A,' LPI Calculator'!S23)</f>
        <v>#N/A</v>
      </c>
      <c r="T10" s="78" t="e">
        <f>IF(' LPI Calculator'!T23="", #N/A,' LPI Calculator'!T23)</f>
        <v>#N/A</v>
      </c>
      <c r="U10" s="78" t="e">
        <f>IF(' LPI Calculator'!U23="", #N/A,' LPI Calculator'!U23)</f>
        <v>#N/A</v>
      </c>
      <c r="V10" s="78" t="e">
        <f>IF(' LPI Calculator'!V23="", #N/A,' LPI Calculator'!V23)</f>
        <v>#N/A</v>
      </c>
    </row>
    <row r="11" spans="2:22" x14ac:dyDescent="0.5">
      <c r="B11" t="str">
        <f>"LPI Payment ($/head at Est. Settlement Price = $"&amp;' LPI Calculator'!I14&amp;"/cwt)"</f>
        <v>LPI Payment ($/head at Est. Settlement Price = $325/cwt)</v>
      </c>
      <c r="C11" s="77">
        <f>IF(' LPI Calculator'!C36="", #N/A,' LPI Calculator'!C36)</f>
        <v>385.25</v>
      </c>
      <c r="D11" s="77">
        <f>IF(' LPI Calculator'!D36="", #N/A,' LPI Calculator'!D36)</f>
        <v>373.75</v>
      </c>
      <c r="E11" s="77">
        <f>IF(' LPI Calculator'!E36="", #N/A,' LPI Calculator'!E36)</f>
        <v>362.25</v>
      </c>
      <c r="F11" s="77">
        <f>IF(' LPI Calculator'!F36="", #N/A,' LPI Calculator'!F36)</f>
        <v>350.75</v>
      </c>
      <c r="G11" s="77">
        <f>IF(' LPI Calculator'!G36="", #N/A,' LPI Calculator'!G36)</f>
        <v>339.25</v>
      </c>
      <c r="H11" s="77">
        <f>IF(' LPI Calculator'!H36="", #N/A,' LPI Calculator'!H36)</f>
        <v>327.75</v>
      </c>
      <c r="I11" s="77">
        <f>IF(' LPI Calculator'!I36="", #N/A,' LPI Calculator'!I36)</f>
        <v>316.25</v>
      </c>
      <c r="J11" s="77">
        <f>IF(' LPI Calculator'!J36="", #N/A,' LPI Calculator'!J36)</f>
        <v>304.75</v>
      </c>
      <c r="K11" s="77">
        <f>IF(' LPI Calculator'!K36="", #N/A,' LPI Calculator'!K36)</f>
        <v>293.25</v>
      </c>
      <c r="L11" s="77">
        <f>IF(' LPI Calculator'!L36="", #N/A,' LPI Calculator'!L36)</f>
        <v>281.75</v>
      </c>
      <c r="M11" s="77">
        <f>IF(' LPI Calculator'!M36="", #N/A,' LPI Calculator'!M36)</f>
        <v>270.25</v>
      </c>
      <c r="N11" s="77">
        <f>IF(' LPI Calculator'!N36="", #N/A,' LPI Calculator'!N36)</f>
        <v>258.75</v>
      </c>
      <c r="O11" s="77">
        <f>IF(' LPI Calculator'!O36="", #N/A,' LPI Calculator'!O36)</f>
        <v>247.25</v>
      </c>
      <c r="P11" s="77">
        <f>IF(' LPI Calculator'!P36="", #N/A,' LPI Calculator'!P36)</f>
        <v>235.75</v>
      </c>
      <c r="Q11" s="77">
        <f>IF(' LPI Calculator'!Q36="", #N/A,' LPI Calculator'!Q36)</f>
        <v>224.25</v>
      </c>
      <c r="R11" s="77" t="e">
        <f>IF(' LPI Calculator'!R36="", #N/A,' LPI Calculator'!R36)</f>
        <v>#N/A</v>
      </c>
      <c r="S11" s="77" t="e">
        <f>IF(' LPI Calculator'!S36="", #N/A,' LPI Calculator'!S36)</f>
        <v>#N/A</v>
      </c>
      <c r="T11" s="77" t="e">
        <f>IF(' LPI Calculator'!T36="", #N/A,' LPI Calculator'!T36)</f>
        <v>#N/A</v>
      </c>
      <c r="U11" s="77" t="e">
        <f>IF(' LPI Calculator'!U36="", #N/A,' LPI Calculator'!U36)</f>
        <v>#N/A</v>
      </c>
      <c r="V11" s="77" t="e">
        <f>IF(' LPI Calculator'!V36="", #N/A,' LPI Calculator'!V36)</f>
        <v>#N/A</v>
      </c>
    </row>
    <row r="12" spans="2:22" x14ac:dyDescent="0.5">
      <c r="B12" s="74" t="s">
        <v>159</v>
      </c>
      <c r="C12" s="77" t="e">
        <f>IF(OR(' LPI Calculator'!C43="-",' LPI Calculator'!C43=""), #N/A,' LPI Calculator'!C43)</f>
        <v>#N/A</v>
      </c>
      <c r="D12" s="77" t="e">
        <f>IF(OR(' LPI Calculator'!D43="-",' LPI Calculator'!D43=""), #N/A,' LPI Calculator'!D43)</f>
        <v>#N/A</v>
      </c>
      <c r="E12" s="77" t="e">
        <f>IF(OR(' LPI Calculator'!E43="-",' LPI Calculator'!E43=""), #N/A,' LPI Calculator'!E43)</f>
        <v>#N/A</v>
      </c>
      <c r="F12" s="77" t="e">
        <f>IF(OR(' LPI Calculator'!F43="-",' LPI Calculator'!F43=""), #N/A,' LPI Calculator'!F43)</f>
        <v>#N/A</v>
      </c>
      <c r="G12" s="77" t="e">
        <f>IF(OR(' LPI Calculator'!G43="-",' LPI Calculator'!G43=""), #N/A,' LPI Calculator'!G43)</f>
        <v>#N/A</v>
      </c>
      <c r="H12" s="77" t="e">
        <f>IF(OR(' LPI Calculator'!H43="-",' LPI Calculator'!H43=""), #N/A,' LPI Calculator'!H43)</f>
        <v>#N/A</v>
      </c>
      <c r="I12" s="77" t="e">
        <f>IF(OR(' LPI Calculator'!I43="-",' LPI Calculator'!I43=""), #N/A,' LPI Calculator'!I43)</f>
        <v>#N/A</v>
      </c>
      <c r="J12" s="77" t="e">
        <f>IF(OR(' LPI Calculator'!J43="-",' LPI Calculator'!J43=""), #N/A,' LPI Calculator'!J43)</f>
        <v>#N/A</v>
      </c>
      <c r="K12" s="77" t="e">
        <f>IF(OR(' LPI Calculator'!K43="-",' LPI Calculator'!K43=""), #N/A,' LPI Calculator'!K43)</f>
        <v>#N/A</v>
      </c>
      <c r="L12" s="77" t="e">
        <f>IF(OR(' LPI Calculator'!L43="-",' LPI Calculator'!L43=""), #N/A,' LPI Calculator'!L43)</f>
        <v>#N/A</v>
      </c>
      <c r="M12" s="77" t="e">
        <f>IF(OR(' LPI Calculator'!M43="-",' LPI Calculator'!M43=""), #N/A,' LPI Calculator'!M43)</f>
        <v>#N/A</v>
      </c>
      <c r="N12" s="77" t="e">
        <f>IF(OR(' LPI Calculator'!N43="-",' LPI Calculator'!N43=""), #N/A,' LPI Calculator'!N43)</f>
        <v>#N/A</v>
      </c>
      <c r="O12" s="77" t="e">
        <f>IF(OR(' LPI Calculator'!O43="-",' LPI Calculator'!O43=""), #N/A,' LPI Calculator'!O43)</f>
        <v>#N/A</v>
      </c>
      <c r="P12" s="77" t="e">
        <f>IF(OR(' LPI Calculator'!P43="-",' LPI Calculator'!P43=""), #N/A,' LPI Calculator'!P43)</f>
        <v>#N/A</v>
      </c>
      <c r="Q12" s="77" t="e">
        <f>IF(OR(' LPI Calculator'!Q43="-",' LPI Calculator'!Q43=""), #N/A,' LPI Calculator'!Q43)</f>
        <v>#N/A</v>
      </c>
      <c r="R12" s="77" t="e">
        <f>IF(OR(' LPI Calculator'!R43="-",' LPI Calculator'!R43=""), #N/A,' LPI Calculator'!R43)</f>
        <v>#N/A</v>
      </c>
      <c r="S12" s="77" t="e">
        <f>IF(OR(' LPI Calculator'!S43="-",' LPI Calculator'!S43=""), #N/A,' LPI Calculator'!S43)</f>
        <v>#N/A</v>
      </c>
      <c r="T12" s="77" t="e">
        <f>IF(OR(' LPI Calculator'!T43="-",' LPI Calculator'!T43=""), #N/A,' LPI Calculator'!T43)</f>
        <v>#N/A</v>
      </c>
      <c r="U12" s="77" t="e">
        <f>IF(OR(' LPI Calculator'!U43="-",' LPI Calculator'!U43=""), #N/A,' LPI Calculator'!U43)</f>
        <v>#N/A</v>
      </c>
      <c r="V12" s="77" t="e">
        <f>IF(OR(' LPI Calculator'!V43="-",' LPI Calculator'!V43=""), #N/A,' LPI Calculator'!V43)</f>
        <v>#N/A</v>
      </c>
    </row>
    <row r="13" spans="2:22" x14ac:dyDescent="0.5">
      <c r="B13" t="str">
        <f>"Net Profit (based on Est. Settlement Price @ $"&amp;' LPI Calculator'!I14&amp;"/cwt + LPI Payment per head)"</f>
        <v>Net Profit (based on Est. Settlement Price @ $325/cwt + LPI Payment per head)</v>
      </c>
      <c r="C13" s="77">
        <f>IF(' LPI Calculator'!C51="", #N/A,' LPI Calculator'!C51)</f>
        <v>583.76129999999966</v>
      </c>
      <c r="D13" s="77">
        <f>IF(' LPI Calculator'!D51="", #N/A,' LPI Calculator'!D51)</f>
        <v>578.70129999999972</v>
      </c>
      <c r="E13" s="77">
        <f>IF(' LPI Calculator'!E51="", #N/A,' LPI Calculator'!E51)</f>
        <v>573.29629999999975</v>
      </c>
      <c r="F13" s="77">
        <f>IF(' LPI Calculator'!F51="", #N/A,' LPI Calculator'!F51)</f>
        <v>568.17879999999968</v>
      </c>
      <c r="G13" s="77">
        <f>IF(' LPI Calculator'!G51="", #N/A,' LPI Calculator'!G51)</f>
        <v>562.77379999999971</v>
      </c>
      <c r="H13" s="77">
        <f>IF(' LPI Calculator'!H51="", #N/A,' LPI Calculator'!H51)</f>
        <v>555.98879999999986</v>
      </c>
      <c r="I13" s="77">
        <f>IF(' LPI Calculator'!I51="", #N/A,' LPI Calculator'!I51)</f>
        <v>550.00879999999984</v>
      </c>
      <c r="J13" s="77">
        <f>IF(' LPI Calculator'!J51="", #N/A,' LPI Calculator'!J51)</f>
        <v>542.64879999999971</v>
      </c>
      <c r="K13" s="77">
        <f>IF(' LPI Calculator'!K51="", #N/A,' LPI Calculator'!K51)</f>
        <v>535.80629999999974</v>
      </c>
      <c r="L13" s="77">
        <f>IF(' LPI Calculator'!L51="", #N/A,' LPI Calculator'!L51)</f>
        <v>528.27379999999971</v>
      </c>
      <c r="M13" s="77">
        <f>IF(' LPI Calculator'!M51="", #N/A,' LPI Calculator'!M51)</f>
        <v>517.86629999999968</v>
      </c>
      <c r="N13" s="77">
        <f>IF(' LPI Calculator'!N51="", #N/A,' LPI Calculator'!N51)</f>
        <v>507.68879999999967</v>
      </c>
      <c r="O13" s="77">
        <f>IF(' LPI Calculator'!O51="", #N/A,' LPI Calculator'!O51)</f>
        <v>496.93629999999985</v>
      </c>
      <c r="P13" s="77">
        <f>IF(' LPI Calculator'!P51="", #N/A,' LPI Calculator'!P51)</f>
        <v>486.18379999999979</v>
      </c>
      <c r="Q13" s="77">
        <f>IF(' LPI Calculator'!Q51="", #N/A,' LPI Calculator'!Q51)</f>
        <v>475.37379999999985</v>
      </c>
      <c r="R13" s="77" t="e">
        <f>IF(' LPI Calculator'!R51="", #N/A,' LPI Calculator'!R51)</f>
        <v>#N/A</v>
      </c>
      <c r="S13" s="77" t="e">
        <f>IF(' LPI Calculator'!S51="", #N/A,' LPI Calculator'!S51)</f>
        <v>#N/A</v>
      </c>
      <c r="T13" s="77" t="e">
        <f>IF(' LPI Calculator'!T51="", #N/A,' LPI Calculator'!T51)</f>
        <v>#N/A</v>
      </c>
      <c r="U13" s="77" t="e">
        <f>IF(' LPI Calculator'!U51="", #N/A,' LPI Calculator'!U51)</f>
        <v>#N/A</v>
      </c>
      <c r="V13" s="77" t="e">
        <f>IF(' LPI Calculator'!V51="", #N/A,' LPI Calculator'!V51)</f>
        <v>#N/A</v>
      </c>
    </row>
    <row r="14" spans="2:22" x14ac:dyDescent="0.5">
      <c r="B14" t="str">
        <f>"Marginal Return Over Operating &amp; Fixed Costs (based on Est. Settlement Price @ $"&amp;' LPI Calculator'!I14&amp;"/cwt + LPI Payment per head)"</f>
        <v>Marginal Return Over Operating &amp; Fixed Costs (based on Est. Settlement Price @ $325/cwt + LPI Payment per head)</v>
      </c>
      <c r="C14" s="77">
        <f>IF(' LPI Calculator'!C50="", #N/A,' LPI Calculator'!C50)</f>
        <v>745.76129999999966</v>
      </c>
      <c r="D14" s="77">
        <f>IF(' LPI Calculator'!D50="", #N/A,' LPI Calculator'!D50)</f>
        <v>740.70129999999972</v>
      </c>
      <c r="E14" s="77">
        <f>IF(' LPI Calculator'!E50="", #N/A,' LPI Calculator'!E50)</f>
        <v>735.29629999999975</v>
      </c>
      <c r="F14" s="77">
        <f>IF(' LPI Calculator'!F50="", #N/A,' LPI Calculator'!F50)</f>
        <v>730.17879999999968</v>
      </c>
      <c r="G14" s="77">
        <f>IF(' LPI Calculator'!G50="", #N/A,' LPI Calculator'!G50)</f>
        <v>724.77379999999971</v>
      </c>
      <c r="H14" s="77">
        <f>IF(' LPI Calculator'!H50="", #N/A,' LPI Calculator'!H50)</f>
        <v>717.98879999999986</v>
      </c>
      <c r="I14" s="77">
        <f>IF(' LPI Calculator'!I50="", #N/A,' LPI Calculator'!I50)</f>
        <v>712.00879999999984</v>
      </c>
      <c r="J14" s="77">
        <f>IF(' LPI Calculator'!J50="", #N/A,' LPI Calculator'!J50)</f>
        <v>704.64879999999971</v>
      </c>
      <c r="K14" s="77">
        <f>IF(' LPI Calculator'!K50="", #N/A,' LPI Calculator'!K50)</f>
        <v>697.80629999999974</v>
      </c>
      <c r="L14" s="77">
        <f>IF(' LPI Calculator'!L50="", #N/A,' LPI Calculator'!L50)</f>
        <v>690.27379999999971</v>
      </c>
      <c r="M14" s="77">
        <f>IF(' LPI Calculator'!M50="", #N/A,' LPI Calculator'!M50)</f>
        <v>679.86629999999968</v>
      </c>
      <c r="N14" s="77">
        <f>IF(' LPI Calculator'!N50="", #N/A,' LPI Calculator'!N50)</f>
        <v>669.68879999999967</v>
      </c>
      <c r="O14" s="77">
        <f>IF(' LPI Calculator'!O50="", #N/A,' LPI Calculator'!O50)</f>
        <v>658.93629999999985</v>
      </c>
      <c r="P14" s="77">
        <f>IF(' LPI Calculator'!P50="", #N/A,' LPI Calculator'!P50)</f>
        <v>648.18379999999979</v>
      </c>
      <c r="Q14" s="77">
        <f>IF(' LPI Calculator'!Q50="", #N/A,' LPI Calculator'!Q50)</f>
        <v>637.37379999999985</v>
      </c>
      <c r="R14" s="77" t="e">
        <f>IF(' LPI Calculator'!R50="", #N/A,' LPI Calculator'!R50)</f>
        <v>#N/A</v>
      </c>
      <c r="S14" s="77" t="e">
        <f>IF(' LPI Calculator'!S50="", #N/A,' LPI Calculator'!S50)</f>
        <v>#N/A</v>
      </c>
      <c r="T14" s="77" t="e">
        <f>IF(' LPI Calculator'!T50="", #N/A,' LPI Calculator'!T50)</f>
        <v>#N/A</v>
      </c>
      <c r="U14" s="77" t="e">
        <f>IF(' LPI Calculator'!U50="", #N/A,' LPI Calculator'!U50)</f>
        <v>#N/A</v>
      </c>
      <c r="V14" s="77" t="e">
        <f>IF(' LPI Calculator'!V50="", #N/A,' LPI Calculator'!V50)</f>
        <v>#N/A</v>
      </c>
    </row>
    <row r="15" spans="2:22" x14ac:dyDescent="0.5">
      <c r="B15" s="74" t="s">
        <v>160</v>
      </c>
      <c r="C15" s="77" t="e">
        <f>IF(OR(' LPI Calculator'!C42="-",' LPI Calculator'!C42=""), #N/A,' LPI Calculator'!C42)</f>
        <v>#N/A</v>
      </c>
      <c r="D15" s="77" t="e">
        <f>IF(OR(' LPI Calculator'!D42="-",' LPI Calculator'!D42=""), #N/A,' LPI Calculator'!D42)</f>
        <v>#N/A</v>
      </c>
      <c r="E15" s="77" t="e">
        <f>IF(OR(' LPI Calculator'!E42="-",' LPI Calculator'!E42=""), #N/A,' LPI Calculator'!E42)</f>
        <v>#N/A</v>
      </c>
      <c r="F15" s="77" t="e">
        <f>IF(OR(' LPI Calculator'!F42="-",' LPI Calculator'!F42=""), #N/A,' LPI Calculator'!F42)</f>
        <v>#N/A</v>
      </c>
      <c r="G15" s="77" t="e">
        <f>IF(OR(' LPI Calculator'!G42="-",' LPI Calculator'!G42=""), #N/A,' LPI Calculator'!G42)</f>
        <v>#N/A</v>
      </c>
      <c r="H15" s="77" t="e">
        <f>IF(OR(' LPI Calculator'!H42="-",' LPI Calculator'!H42=""), #N/A,' LPI Calculator'!H42)</f>
        <v>#N/A</v>
      </c>
      <c r="I15" s="77" t="e">
        <f>IF(OR(' LPI Calculator'!I42="-",' LPI Calculator'!I42=""), #N/A,' LPI Calculator'!I42)</f>
        <v>#N/A</v>
      </c>
      <c r="J15" s="77" t="e">
        <f>IF(OR(' LPI Calculator'!J42="-",' LPI Calculator'!J42=""), #N/A,' LPI Calculator'!J42)</f>
        <v>#N/A</v>
      </c>
      <c r="K15" s="77" t="e">
        <f>IF(OR(' LPI Calculator'!K42="-",' LPI Calculator'!K42=""), #N/A,' LPI Calculator'!K42)</f>
        <v>#N/A</v>
      </c>
      <c r="L15" s="77" t="e">
        <f>IF(OR(' LPI Calculator'!L42="-",' LPI Calculator'!L42=""), #N/A,' LPI Calculator'!L42)</f>
        <v>#N/A</v>
      </c>
      <c r="M15" s="77" t="e">
        <f>IF(OR(' LPI Calculator'!M42="-",' LPI Calculator'!M42=""), #N/A,' LPI Calculator'!M42)</f>
        <v>#N/A</v>
      </c>
      <c r="N15" s="77" t="e">
        <f>IF(OR(' LPI Calculator'!N42="-",' LPI Calculator'!N42=""), #N/A,' LPI Calculator'!N42)</f>
        <v>#N/A</v>
      </c>
      <c r="O15" s="77" t="e">
        <f>IF(OR(' LPI Calculator'!O42="-",' LPI Calculator'!O42=""), #N/A,' LPI Calculator'!O42)</f>
        <v>#N/A</v>
      </c>
      <c r="P15" s="77" t="e">
        <f>IF(OR(' LPI Calculator'!P42="-",' LPI Calculator'!P42=""), #N/A,' LPI Calculator'!P42)</f>
        <v>#N/A</v>
      </c>
      <c r="Q15" s="77" t="e">
        <f>IF(OR(' LPI Calculator'!Q42="-",' LPI Calculator'!Q42=""), #N/A,' LPI Calculator'!Q42)</f>
        <v>#N/A</v>
      </c>
      <c r="R15" s="77" t="e">
        <f>IF(OR(' LPI Calculator'!R42="-",' LPI Calculator'!R42=""), #N/A,' LPI Calculator'!R42)</f>
        <v>#N/A</v>
      </c>
      <c r="S15" s="77" t="e">
        <f>IF(OR(' LPI Calculator'!S42="-",' LPI Calculator'!S42=""), #N/A,' LPI Calculator'!S42)</f>
        <v>#N/A</v>
      </c>
      <c r="T15" s="77" t="e">
        <f>IF(OR(' LPI Calculator'!T42="-",' LPI Calculator'!T42=""), #N/A,' LPI Calculator'!T42)</f>
        <v>#N/A</v>
      </c>
      <c r="U15" s="77" t="e">
        <f>IF(OR(' LPI Calculator'!U42="-",' LPI Calculator'!U42=""), #N/A,' LPI Calculator'!U42)</f>
        <v>#N/A</v>
      </c>
      <c r="V15" s="77" t="e">
        <f>IF(OR(' LPI Calculator'!V42="-",' LPI Calculator'!V42=""), #N/A,' LPI Calculator'!V42)</f>
        <v>#N/A</v>
      </c>
    </row>
    <row r="41" spans="2:22" ht="15.3" thickBot="1" x14ac:dyDescent="0.55000000000000004"/>
    <row r="42" spans="2:22" ht="15.3" thickBot="1" x14ac:dyDescent="0.55000000000000004">
      <c r="B42" s="24" t="s">
        <v>161</v>
      </c>
      <c r="C42" s="95" t="s">
        <v>91</v>
      </c>
      <c r="D42" s="96"/>
      <c r="E42" s="97">
        <f>' LPI Calculator'!S55</f>
        <v>356</v>
      </c>
    </row>
    <row r="43" spans="2:22" x14ac:dyDescent="0.5">
      <c r="B43" t="str">
        <f>' LPI Calculator'!A9</f>
        <v>Insured Index ($/cwt)</v>
      </c>
      <c r="C43" s="73">
        <f>' LPI Calculator'!C9</f>
        <v>392</v>
      </c>
      <c r="D43" s="73">
        <f>' LPI Calculator'!D9</f>
        <v>390</v>
      </c>
      <c r="E43" s="73">
        <f>' LPI Calculator'!E9</f>
        <v>388</v>
      </c>
      <c r="F43" s="73">
        <f>' LPI Calculator'!F9</f>
        <v>386</v>
      </c>
      <c r="G43" s="73">
        <f>' LPI Calculator'!G9</f>
        <v>384</v>
      </c>
      <c r="H43" s="73">
        <f>' LPI Calculator'!H9</f>
        <v>382</v>
      </c>
      <c r="I43" s="73">
        <f>' LPI Calculator'!I9</f>
        <v>380</v>
      </c>
      <c r="J43" s="73">
        <f>' LPI Calculator'!J9</f>
        <v>378</v>
      </c>
      <c r="K43" s="73">
        <f>' LPI Calculator'!K9</f>
        <v>376</v>
      </c>
      <c r="L43" s="73">
        <f>' LPI Calculator'!L9</f>
        <v>374</v>
      </c>
      <c r="M43" s="73">
        <f>' LPI Calculator'!M9</f>
        <v>372</v>
      </c>
      <c r="N43" s="73">
        <f>' LPI Calculator'!N9</f>
        <v>370</v>
      </c>
      <c r="O43" s="73">
        <f>' LPI Calculator'!O9</f>
        <v>368</v>
      </c>
      <c r="P43" s="73">
        <f>' LPI Calculator'!P9</f>
        <v>366</v>
      </c>
      <c r="Q43" s="73">
        <f>' LPI Calculator'!Q9</f>
        <v>364</v>
      </c>
      <c r="R43" s="73">
        <f>' LPI Calculator'!R9</f>
        <v>362</v>
      </c>
      <c r="S43" s="73">
        <f>' LPI Calculator'!S9</f>
        <v>360</v>
      </c>
      <c r="T43" s="73">
        <f>' LPI Calculator'!T9</f>
        <v>358</v>
      </c>
      <c r="U43" s="73">
        <f>' LPI Calculator'!U9</f>
        <v>356</v>
      </c>
      <c r="V43" s="73">
        <f>' LPI Calculator'!V9</f>
        <v>354</v>
      </c>
    </row>
    <row r="44" spans="2:22" x14ac:dyDescent="0.5">
      <c r="B44" s="74" t="s">
        <v>162</v>
      </c>
      <c r="C44" s="73">
        <f>IF(' LPI Calculator'!C9+C46&gt;$E$42,$E$42-C46,' LPI Calculator'!C9)</f>
        <v>278.75629565217395</v>
      </c>
      <c r="D44" s="73">
        <f>IF(' LPI Calculator'!D9+D46&gt;$E$42,$E$42-D46,' LPI Calculator'!D9)</f>
        <v>278.75629565217395</v>
      </c>
      <c r="E44" s="73">
        <f>IF(' LPI Calculator'!E9+E46&gt;$E$42,$E$42-E46,' LPI Calculator'!E9)</f>
        <v>278.75629565217395</v>
      </c>
      <c r="F44" s="73">
        <f>IF(' LPI Calculator'!F9+F46&gt;$E$42,$E$42-F46,' LPI Calculator'!F9)</f>
        <v>278.75629565217395</v>
      </c>
      <c r="G44" s="73">
        <f>IF(' LPI Calculator'!G9+G46&gt;$E$42,$E$42-G46,' LPI Calculator'!G9)</f>
        <v>278.75629565217395</v>
      </c>
      <c r="H44" s="73">
        <f>IF(' LPI Calculator'!H9+H46&gt;$E$42,$E$42-H46,' LPI Calculator'!H9)</f>
        <v>278.75629565217395</v>
      </c>
      <c r="I44" s="73">
        <f>IF(' LPI Calculator'!I9+I46&gt;$E$42,$E$42-I46,' LPI Calculator'!I9)</f>
        <v>278.75629565217395</v>
      </c>
      <c r="J44" s="73">
        <f>IF(' LPI Calculator'!J9+J46&gt;$E$42,$E$42-J46,' LPI Calculator'!J9)</f>
        <v>278.75629565217395</v>
      </c>
      <c r="K44" s="73">
        <f>IF(' LPI Calculator'!K9+K46&gt;$E$42,$E$42-K46,' LPI Calculator'!K9)</f>
        <v>278.75629565217395</v>
      </c>
      <c r="L44" s="73">
        <f>IF(' LPI Calculator'!L9+L46&gt;$E$42,$E$42-L46,' LPI Calculator'!L9)</f>
        <v>278.75629565217395</v>
      </c>
      <c r="M44" s="73">
        <f>IF(' LPI Calculator'!M9+M46&gt;$E$42,$E$42-M46,' LPI Calculator'!M9)</f>
        <v>278.75629565217395</v>
      </c>
      <c r="N44" s="73">
        <f>IF(' LPI Calculator'!N9+N46&gt;$E$42,$E$42-N46,' LPI Calculator'!N9)</f>
        <v>278.75629565217395</v>
      </c>
      <c r="O44" s="73">
        <f>IF(' LPI Calculator'!O9+O46&gt;$E$42,$E$42-O46,' LPI Calculator'!O9)</f>
        <v>278.75629565217395</v>
      </c>
      <c r="P44" s="73">
        <f>IF(' LPI Calculator'!P9+P46&gt;$E$42,$E$42-P46,' LPI Calculator'!P9)</f>
        <v>278.75629565217395</v>
      </c>
      <c r="Q44" s="73">
        <f>IF(' LPI Calculator'!Q9+Q46&gt;$E$42,$E$42-Q46,' LPI Calculator'!Q9)</f>
        <v>278.75629565217395</v>
      </c>
      <c r="R44" s="73">
        <f>IF(' LPI Calculator'!R9+R46&gt;$E$42,$E$42-R46,' LPI Calculator'!R9)</f>
        <v>278.75629565217395</v>
      </c>
      <c r="S44" s="73">
        <f>IF(' LPI Calculator'!S9+S46&gt;$E$42,$E$42-S46,' LPI Calculator'!S9)</f>
        <v>278.75629565217395</v>
      </c>
      <c r="T44" s="73">
        <f>IF(' LPI Calculator'!T9+T46&gt;$E$42,$E$42-T46,' LPI Calculator'!T9)</f>
        <v>278.75629565217395</v>
      </c>
      <c r="U44" s="73">
        <f>IF(' LPI Calculator'!U9+U46&gt;$E$42,$E$42-U46,' LPI Calculator'!U9)</f>
        <v>278.75629565217395</v>
      </c>
      <c r="V44" s="73">
        <f>IF(' LPI Calculator'!V9+V46&gt;$E$42,$E$42-V46,' LPI Calculator'!V9)</f>
        <v>278.75629565217395</v>
      </c>
    </row>
    <row r="45" spans="2:22" x14ac:dyDescent="0.5">
      <c r="B45" s="74" t="s">
        <v>90</v>
      </c>
      <c r="C45" s="73">
        <f>IF(SUM('Cost of Production'!$C$46/('Cost of Production'!$C$50/100))-C44&lt;0,0,SUM('Cost of Production'!$C$46/('Cost of Production'!$C$50/100))-C44)</f>
        <v>0</v>
      </c>
      <c r="D45" s="73">
        <f>IF(SUM('Cost of Production'!$C$46/('Cost of Production'!$C$50/100))-D44&lt;0,0,SUM('Cost of Production'!$C$46/('Cost of Production'!$C$50/100))-D44)</f>
        <v>0</v>
      </c>
      <c r="E45" s="73">
        <f>IF(SUM('Cost of Production'!$C$46/('Cost of Production'!$C$50/100))-E44&lt;0,0,SUM('Cost of Production'!$C$46/('Cost of Production'!$C$50/100))-E44)</f>
        <v>0</v>
      </c>
      <c r="F45" s="73">
        <f>IF(SUM('Cost of Production'!$C$46/('Cost of Production'!$C$50/100))-F44&lt;0,0,SUM('Cost of Production'!$C$46/('Cost of Production'!$C$50/100))-F44)</f>
        <v>0</v>
      </c>
      <c r="G45" s="73">
        <f>IF(SUM('Cost of Production'!$C$46/('Cost of Production'!$C$50/100))-G44&lt;0,0,SUM('Cost of Production'!$C$46/('Cost of Production'!$C$50/100))-G44)</f>
        <v>0</v>
      </c>
      <c r="H45" s="73">
        <f>IF(SUM('Cost of Production'!$C$46/('Cost of Production'!$C$50/100))-H44&lt;0,0,SUM('Cost of Production'!$C$46/('Cost of Production'!$C$50/100))-H44)</f>
        <v>0</v>
      </c>
      <c r="I45" s="73">
        <f>IF(SUM('Cost of Production'!$C$46/('Cost of Production'!$C$50/100))-I44&lt;0,0,SUM('Cost of Production'!$C$46/('Cost of Production'!$C$50/100))-I44)</f>
        <v>0</v>
      </c>
      <c r="J45" s="73">
        <f>IF(SUM('Cost of Production'!$C$46/('Cost of Production'!$C$50/100))-J44&lt;0,0,SUM('Cost of Production'!$C$46/('Cost of Production'!$C$50/100))-J44)</f>
        <v>0</v>
      </c>
      <c r="K45" s="73">
        <f>IF(SUM('Cost of Production'!$C$46/('Cost of Production'!$C$50/100))-K44&lt;0,0,SUM('Cost of Production'!$C$46/('Cost of Production'!$C$50/100))-K44)</f>
        <v>0</v>
      </c>
      <c r="L45" s="73">
        <f>IF(SUM('Cost of Production'!$C$46/('Cost of Production'!$C$50/100))-L44&lt;0,0,SUM('Cost of Production'!$C$46/('Cost of Production'!$C$50/100))-L44)</f>
        <v>0</v>
      </c>
      <c r="M45" s="73">
        <f>IF(SUM('Cost of Production'!$C$46/('Cost of Production'!$C$50/100))-M44&lt;0,0,SUM('Cost of Production'!$C$46/('Cost of Production'!$C$50/100))-M44)</f>
        <v>0</v>
      </c>
      <c r="N45" s="73">
        <f>IF(SUM('Cost of Production'!$C$46/('Cost of Production'!$C$50/100))-N44&lt;0,0,SUM('Cost of Production'!$C$46/('Cost of Production'!$C$50/100))-N44)</f>
        <v>0</v>
      </c>
      <c r="O45" s="73">
        <f>IF(SUM('Cost of Production'!$C$46/('Cost of Production'!$C$50/100))-O44&lt;0,0,SUM('Cost of Production'!$C$46/('Cost of Production'!$C$50/100))-O44)</f>
        <v>0</v>
      </c>
      <c r="P45" s="73">
        <f>IF(SUM('Cost of Production'!$C$46/('Cost of Production'!$C$50/100))-P44&lt;0,0,SUM('Cost of Production'!$C$46/('Cost of Production'!$C$50/100))-P44)</f>
        <v>0</v>
      </c>
      <c r="Q45" s="73">
        <f>IF(SUM('Cost of Production'!$C$46/('Cost of Production'!$C$50/100))-Q44&lt;0,0,SUM('Cost of Production'!$C$46/('Cost of Production'!$C$50/100))-Q44)</f>
        <v>0</v>
      </c>
      <c r="R45" s="73">
        <f>IF(SUM('Cost of Production'!$C$46/('Cost of Production'!$C$50/100))-R44&lt;0,0,SUM('Cost of Production'!$C$46/('Cost of Production'!$C$50/100))-R44)</f>
        <v>0</v>
      </c>
      <c r="S45" s="73">
        <f>IF(SUM('Cost of Production'!$C$46/('Cost of Production'!$C$50/100))-S44&lt;0,0,SUM('Cost of Production'!$C$46/('Cost of Production'!$C$50/100))-S44)</f>
        <v>0</v>
      </c>
      <c r="T45" s="73">
        <f>IF(SUM('Cost of Production'!$C$46/('Cost of Production'!$C$50/100))-T44&lt;0,0,SUM('Cost of Production'!$C$46/('Cost of Production'!$C$50/100))-T44)</f>
        <v>0</v>
      </c>
      <c r="U45" s="73">
        <f>IF(SUM('Cost of Production'!$C$46/('Cost of Production'!$C$50/100))-U44&lt;0,0,SUM('Cost of Production'!$C$46/('Cost of Production'!$C$50/100))-U44)</f>
        <v>0</v>
      </c>
      <c r="V45" s="73">
        <f>IF(SUM('Cost of Production'!$C$46/('Cost of Production'!$C$50/100))-V44&lt;0,0,SUM('Cost of Production'!$C$46/('Cost of Production'!$C$50/100))-V44)</f>
        <v>0</v>
      </c>
    </row>
    <row r="46" spans="2:22" x14ac:dyDescent="0.5">
      <c r="B46" s="74" t="str">
        <f>"$/cwt Reward @ Est. Mkt. Price $"&amp;E42&amp;"/cwt"</f>
        <v>$/cwt Reward @ Est. Mkt. Price $356/cwt</v>
      </c>
      <c r="C46" s="77">
        <f>$E$42-SUM('Cost of Production'!$C$46/('Cost of Production'!$C$50/100))</f>
        <v>77.243704347826053</v>
      </c>
      <c r="D46" s="77">
        <f>$E$42-SUM('Cost of Production'!$C$46/('Cost of Production'!$C$50/100))</f>
        <v>77.243704347826053</v>
      </c>
      <c r="E46" s="77">
        <f>$E$42-SUM('Cost of Production'!$C$46/('Cost of Production'!$C$50/100))</f>
        <v>77.243704347826053</v>
      </c>
      <c r="F46" s="77">
        <f>$E$42-SUM('Cost of Production'!$C$46/('Cost of Production'!$C$50/100))</f>
        <v>77.243704347826053</v>
      </c>
      <c r="G46" s="77">
        <f>$E$42-SUM('Cost of Production'!$C$46/('Cost of Production'!$C$50/100))</f>
        <v>77.243704347826053</v>
      </c>
      <c r="H46" s="77">
        <f>$E$42-SUM('Cost of Production'!$C$46/('Cost of Production'!$C$50/100))</f>
        <v>77.243704347826053</v>
      </c>
      <c r="I46" s="77">
        <f>$E$42-SUM('Cost of Production'!$C$46/('Cost of Production'!$C$50/100))</f>
        <v>77.243704347826053</v>
      </c>
      <c r="J46" s="77">
        <f>$E$42-SUM('Cost of Production'!$C$46/('Cost of Production'!$C$50/100))</f>
        <v>77.243704347826053</v>
      </c>
      <c r="K46" s="77">
        <f>$E$42-SUM('Cost of Production'!$C$46/('Cost of Production'!$C$50/100))</f>
        <v>77.243704347826053</v>
      </c>
      <c r="L46" s="77">
        <f>$E$42-SUM('Cost of Production'!$C$46/('Cost of Production'!$C$50/100))</f>
        <v>77.243704347826053</v>
      </c>
      <c r="M46" s="77">
        <f>$E$42-SUM('Cost of Production'!$C$46/('Cost of Production'!$C$50/100))</f>
        <v>77.243704347826053</v>
      </c>
      <c r="N46" s="77">
        <f>$E$42-SUM('Cost of Production'!$C$46/('Cost of Production'!$C$50/100))</f>
        <v>77.243704347826053</v>
      </c>
      <c r="O46" s="77">
        <f>$E$42-SUM('Cost of Production'!$C$46/('Cost of Production'!$C$50/100))</f>
        <v>77.243704347826053</v>
      </c>
      <c r="P46" s="77">
        <f>$E$42-SUM('Cost of Production'!$C$46/('Cost of Production'!$C$50/100))</f>
        <v>77.243704347826053</v>
      </c>
      <c r="Q46" s="77">
        <f>$E$42-SUM('Cost of Production'!$C$46/('Cost of Production'!$C$50/100))</f>
        <v>77.243704347826053</v>
      </c>
      <c r="R46" s="77">
        <f>$E$42-SUM('Cost of Production'!$C$46/('Cost of Production'!$C$50/100))</f>
        <v>77.243704347826053</v>
      </c>
      <c r="S46" s="77">
        <f>$E$42-SUM('Cost of Production'!$C$46/('Cost of Production'!$C$50/100))</f>
        <v>77.243704347826053</v>
      </c>
      <c r="T46" s="77">
        <f>$E$42-SUM('Cost of Production'!$C$46/('Cost of Production'!$C$50/100))</f>
        <v>77.243704347826053</v>
      </c>
      <c r="U46" s="77">
        <f>$E$42-SUM('Cost of Production'!$C$46/('Cost of Production'!$C$50/100))</f>
        <v>77.243704347826053</v>
      </c>
      <c r="V46" s="77">
        <f>$E$42-SUM('Cost of Production'!$C$46/('Cost of Production'!$C$50/100))</f>
        <v>77.243704347826053</v>
      </c>
    </row>
    <row r="49" spans="2:22" x14ac:dyDescent="0.5">
      <c r="B49" s="74" t="s">
        <v>93</v>
      </c>
    </row>
    <row r="50" spans="2:22" x14ac:dyDescent="0.5">
      <c r="B50" s="74" t="s">
        <v>92</v>
      </c>
    </row>
    <row r="52" spans="2:22" x14ac:dyDescent="0.5">
      <c r="B52" s="74" t="s">
        <v>94</v>
      </c>
    </row>
    <row r="54" spans="2:22" x14ac:dyDescent="0.5">
      <c r="B54" s="75" t="s">
        <v>163</v>
      </c>
    </row>
    <row r="55" spans="2:22" x14ac:dyDescent="0.5">
      <c r="B55" t="str">
        <f>' LPI Calculator'!A9</f>
        <v>Insured Index ($/cwt)</v>
      </c>
      <c r="C55" s="73">
        <f>' LPI Calculator'!C9</f>
        <v>392</v>
      </c>
      <c r="D55" s="73">
        <f>' LPI Calculator'!D9</f>
        <v>390</v>
      </c>
      <c r="E55" s="73">
        <f>' LPI Calculator'!E9</f>
        <v>388</v>
      </c>
      <c r="F55" s="73">
        <f>' LPI Calculator'!F9</f>
        <v>386</v>
      </c>
      <c r="G55" s="73">
        <f>' LPI Calculator'!G9</f>
        <v>384</v>
      </c>
      <c r="H55" s="73">
        <f>' LPI Calculator'!H9</f>
        <v>382</v>
      </c>
      <c r="I55" s="73">
        <f>' LPI Calculator'!I9</f>
        <v>380</v>
      </c>
      <c r="J55" s="73">
        <f>' LPI Calculator'!J9</f>
        <v>378</v>
      </c>
      <c r="K55" s="73">
        <f>' LPI Calculator'!K9</f>
        <v>376</v>
      </c>
      <c r="L55" s="73">
        <f>' LPI Calculator'!L9</f>
        <v>374</v>
      </c>
      <c r="M55" s="73">
        <f>' LPI Calculator'!M9</f>
        <v>372</v>
      </c>
      <c r="N55" s="73">
        <f>' LPI Calculator'!N9</f>
        <v>370</v>
      </c>
      <c r="O55" s="73">
        <f>' LPI Calculator'!O9</f>
        <v>368</v>
      </c>
      <c r="P55" s="73">
        <f>' LPI Calculator'!P9</f>
        <v>366</v>
      </c>
      <c r="Q55" s="73">
        <f>' LPI Calculator'!Q9</f>
        <v>364</v>
      </c>
      <c r="R55" s="73">
        <f>' LPI Calculator'!R9</f>
        <v>362</v>
      </c>
      <c r="S55" s="73">
        <f>' LPI Calculator'!S9</f>
        <v>360</v>
      </c>
      <c r="T55" s="73">
        <f>' LPI Calculator'!T9</f>
        <v>358</v>
      </c>
      <c r="U55" s="73">
        <f>' LPI Calculator'!U9</f>
        <v>356</v>
      </c>
      <c r="V55" s="73">
        <f>' LPI Calculator'!V9</f>
        <v>354</v>
      </c>
    </row>
    <row r="56" spans="2:22" x14ac:dyDescent="0.5">
      <c r="B56" s="74" t="s">
        <v>164</v>
      </c>
      <c r="C56" s="78">
        <f>IF(C57="", #N/A,SUM(C57/C59))</f>
        <v>1.4062462664130431</v>
      </c>
      <c r="D56" s="78">
        <f t="shared" ref="D56:V56" si="0">IF(D57="", #N/A,SUM(D57/D59))</f>
        <v>1.3990715405639969</v>
      </c>
      <c r="E56" s="78">
        <f t="shared" si="0"/>
        <v>1.3918968147149506</v>
      </c>
      <c r="F56" s="78">
        <f t="shared" si="0"/>
        <v>1.3847220888659046</v>
      </c>
      <c r="G56" s="78">
        <f t="shared" si="0"/>
        <v>1.3775473630168584</v>
      </c>
      <c r="H56" s="78">
        <f t="shared" si="0"/>
        <v>1.3703726371678124</v>
      </c>
      <c r="I56" s="78">
        <f t="shared" si="0"/>
        <v>1.3631979113187662</v>
      </c>
      <c r="J56" s="78">
        <f t="shared" si="0"/>
        <v>1.35602318546972</v>
      </c>
      <c r="K56" s="78">
        <f t="shared" si="0"/>
        <v>1.348848459620674</v>
      </c>
      <c r="L56" s="78">
        <f t="shared" si="0"/>
        <v>1.3416737337716278</v>
      </c>
      <c r="M56" s="78">
        <f t="shared" si="0"/>
        <v>1.3344990079225816</v>
      </c>
      <c r="N56" s="78">
        <f t="shared" si="0"/>
        <v>1.3273242820735356</v>
      </c>
      <c r="O56" s="78">
        <f t="shared" si="0"/>
        <v>1.3201495562244894</v>
      </c>
      <c r="P56" s="78">
        <f t="shared" si="0"/>
        <v>1.3129748303754432</v>
      </c>
      <c r="Q56" s="78">
        <f t="shared" si="0"/>
        <v>1.3058001045263972</v>
      </c>
      <c r="R56" s="78" t="e">
        <f t="shared" si="0"/>
        <v>#N/A</v>
      </c>
      <c r="S56" s="78" t="e">
        <f t="shared" si="0"/>
        <v>#N/A</v>
      </c>
      <c r="T56" s="78" t="e">
        <f t="shared" si="0"/>
        <v>#N/A</v>
      </c>
      <c r="U56" s="78" t="e">
        <f t="shared" si="0"/>
        <v>#N/A</v>
      </c>
      <c r="V56" s="78" t="e">
        <f t="shared" si="0"/>
        <v>#N/A</v>
      </c>
    </row>
    <row r="57" spans="2:22" x14ac:dyDescent="0.5">
      <c r="B57" t="str">
        <f>' LPI Calculator'!A21</f>
        <v>Insured Value ($/head @ 575 lbs)</v>
      </c>
      <c r="C57" s="77">
        <f>' LPI Calculator'!C21</f>
        <v>2254</v>
      </c>
      <c r="D57" s="77">
        <f>' LPI Calculator'!D21</f>
        <v>2242.5</v>
      </c>
      <c r="E57" s="77">
        <f>' LPI Calculator'!E21</f>
        <v>2231</v>
      </c>
      <c r="F57" s="77">
        <f>' LPI Calculator'!F21</f>
        <v>2219.5</v>
      </c>
      <c r="G57" s="77">
        <f>' LPI Calculator'!G21</f>
        <v>2208</v>
      </c>
      <c r="H57" s="77">
        <f>' LPI Calculator'!H21</f>
        <v>2196.5</v>
      </c>
      <c r="I57" s="77">
        <f>' LPI Calculator'!I21</f>
        <v>2185</v>
      </c>
      <c r="J57" s="77">
        <f>' LPI Calculator'!J21</f>
        <v>2173.5</v>
      </c>
      <c r="K57" s="77">
        <f>' LPI Calculator'!K21</f>
        <v>2162</v>
      </c>
      <c r="L57" s="77">
        <f>' LPI Calculator'!L21</f>
        <v>2150.5</v>
      </c>
      <c r="M57" s="77">
        <f>' LPI Calculator'!M21</f>
        <v>2139</v>
      </c>
      <c r="N57" s="77">
        <f>' LPI Calculator'!N21</f>
        <v>2127.5</v>
      </c>
      <c r="O57" s="77">
        <f>' LPI Calculator'!O21</f>
        <v>2116</v>
      </c>
      <c r="P57" s="77">
        <f>' LPI Calculator'!P21</f>
        <v>2104.5</v>
      </c>
      <c r="Q57" s="77">
        <f>' LPI Calculator'!Q21</f>
        <v>2093</v>
      </c>
      <c r="R57" s="77" t="str">
        <f>' LPI Calculator'!R21</f>
        <v/>
      </c>
      <c r="S57" s="77" t="str">
        <f>' LPI Calculator'!S21</f>
        <v/>
      </c>
      <c r="T57" s="77" t="str">
        <f>' LPI Calculator'!T21</f>
        <v/>
      </c>
      <c r="U57" s="77" t="str">
        <f>' LPI Calculator'!U21</f>
        <v/>
      </c>
      <c r="V57" s="77" t="str">
        <f>' LPI Calculator'!V21</f>
        <v/>
      </c>
    </row>
    <row r="58" spans="2:22" x14ac:dyDescent="0.5">
      <c r="B58" t="str">
        <f>"Gross Revenue @ Est. Mkt. Price $"&amp;E42&amp;"/cwt @ "&amp;' LPI Calculator'!C14&amp;" lbs"</f>
        <v>Gross Revenue @ Est. Mkt. Price $356/cwt @ 575 lbs</v>
      </c>
      <c r="C58" s="77">
        <f>SUM($E$42*(' LPI Calculator'!$C$14/100))</f>
        <v>2047</v>
      </c>
      <c r="D58" s="77">
        <f>SUM($E$42*(' LPI Calculator'!$C$14/100))</f>
        <v>2047</v>
      </c>
      <c r="E58" s="77">
        <f>SUM($E$42*(' LPI Calculator'!$C$14/100))</f>
        <v>2047</v>
      </c>
      <c r="F58" s="77">
        <f>SUM($E$42*(' LPI Calculator'!$C$14/100))</f>
        <v>2047</v>
      </c>
      <c r="G58" s="77">
        <f>SUM($E$42*(' LPI Calculator'!$C$14/100))</f>
        <v>2047</v>
      </c>
      <c r="H58" s="77">
        <f>SUM($E$42*(' LPI Calculator'!$C$14/100))</f>
        <v>2047</v>
      </c>
      <c r="I58" s="77">
        <f>SUM($E$42*(' LPI Calculator'!$C$14/100))</f>
        <v>2047</v>
      </c>
      <c r="J58" s="77">
        <f>SUM($E$42*(' LPI Calculator'!$C$14/100))</f>
        <v>2047</v>
      </c>
      <c r="K58" s="77">
        <f>SUM($E$42*(' LPI Calculator'!$C$14/100))</f>
        <v>2047</v>
      </c>
      <c r="L58" s="77">
        <f>SUM($E$42*(' LPI Calculator'!$C$14/100))</f>
        <v>2047</v>
      </c>
      <c r="M58" s="77">
        <f>SUM($E$42*(' LPI Calculator'!$C$14/100))</f>
        <v>2047</v>
      </c>
      <c r="N58" s="77">
        <f>SUM($E$42*(' LPI Calculator'!$C$14/100))</f>
        <v>2047</v>
      </c>
      <c r="O58" s="77">
        <f>SUM($E$42*(' LPI Calculator'!$C$14/100))</f>
        <v>2047</v>
      </c>
      <c r="P58" s="77">
        <f>SUM($E$42*(' LPI Calculator'!$C$14/100))</f>
        <v>2047</v>
      </c>
      <c r="Q58" s="77">
        <f>SUM($E$42*(' LPI Calculator'!$C$14/100))</f>
        <v>2047</v>
      </c>
      <c r="R58" s="77">
        <f>SUM($E$42*(' LPI Calculator'!$C$14/100))</f>
        <v>2047</v>
      </c>
      <c r="S58" s="77">
        <f>SUM($E$42*(' LPI Calculator'!$C$14/100))</f>
        <v>2047</v>
      </c>
      <c r="T58" s="77">
        <f>SUM($E$42*(' LPI Calculator'!$C$14/100))</f>
        <v>2047</v>
      </c>
      <c r="U58" s="77">
        <f>SUM($E$42*(' LPI Calculator'!$C$14/100))</f>
        <v>2047</v>
      </c>
      <c r="V58" s="77">
        <f>SUM($E$42*(' LPI Calculator'!$C$14/100))</f>
        <v>2047</v>
      </c>
    </row>
    <row r="59" spans="2:22" x14ac:dyDescent="0.5">
      <c r="B59" s="74" t="s">
        <v>95</v>
      </c>
      <c r="C59" s="77">
        <f>'Cost of Production'!$C$46</f>
        <v>1602.8487000000002</v>
      </c>
      <c r="D59" s="77">
        <f>'Cost of Production'!$C$46</f>
        <v>1602.8487000000002</v>
      </c>
      <c r="E59" s="77">
        <f>'Cost of Production'!$C$46</f>
        <v>1602.8487000000002</v>
      </c>
      <c r="F59" s="77">
        <f>'Cost of Production'!$C$46</f>
        <v>1602.8487000000002</v>
      </c>
      <c r="G59" s="77">
        <f>'Cost of Production'!$C$46</f>
        <v>1602.8487000000002</v>
      </c>
      <c r="H59" s="77">
        <f>'Cost of Production'!$C$46</f>
        <v>1602.8487000000002</v>
      </c>
      <c r="I59" s="77">
        <f>'Cost of Production'!$C$46</f>
        <v>1602.8487000000002</v>
      </c>
      <c r="J59" s="77">
        <f>'Cost of Production'!$C$46</f>
        <v>1602.8487000000002</v>
      </c>
      <c r="K59" s="77">
        <f>'Cost of Production'!$C$46</f>
        <v>1602.8487000000002</v>
      </c>
      <c r="L59" s="77">
        <f>'Cost of Production'!$C$46</f>
        <v>1602.8487000000002</v>
      </c>
      <c r="M59" s="77">
        <f>'Cost of Production'!$C$46</f>
        <v>1602.8487000000002</v>
      </c>
      <c r="N59" s="77">
        <f>'Cost of Production'!$C$46</f>
        <v>1602.8487000000002</v>
      </c>
      <c r="O59" s="77">
        <f>'Cost of Production'!$C$46</f>
        <v>1602.8487000000002</v>
      </c>
      <c r="P59" s="77">
        <f>'Cost of Production'!$C$46</f>
        <v>1602.8487000000002</v>
      </c>
      <c r="Q59" s="77">
        <f>'Cost of Production'!$C$46</f>
        <v>1602.8487000000002</v>
      </c>
      <c r="R59" s="77">
        <f>'Cost of Production'!$C$46</f>
        <v>1602.8487000000002</v>
      </c>
      <c r="S59" s="77">
        <f>'Cost of Production'!$C$46</f>
        <v>1602.8487000000002</v>
      </c>
      <c r="T59" s="77">
        <f>'Cost of Production'!$C$46</f>
        <v>1602.8487000000002</v>
      </c>
      <c r="U59" s="77">
        <f>'Cost of Production'!$C$46</f>
        <v>1602.8487000000002</v>
      </c>
      <c r="V59" s="77">
        <f>'Cost of Production'!$C$46</f>
        <v>1602.8487000000002</v>
      </c>
    </row>
    <row r="60" spans="2:22" x14ac:dyDescent="0.5">
      <c r="B60" t="str">
        <f>"Return on Investment (Reward) @ Est. Mkt. Price $"&amp;E42&amp;"/cwt"</f>
        <v>Return on Investment (Reward) @ Est. Mkt. Price $356/cwt</v>
      </c>
      <c r="C60" s="78">
        <f>SUM(C58-C59)/C59</f>
        <v>0.27710120113021253</v>
      </c>
      <c r="D60" s="78">
        <f t="shared" ref="D60:V60" si="1">SUM(D58-D59)/D59</f>
        <v>0.27710120113021253</v>
      </c>
      <c r="E60" s="78">
        <f t="shared" si="1"/>
        <v>0.27710120113021253</v>
      </c>
      <c r="F60" s="78">
        <f t="shared" si="1"/>
        <v>0.27710120113021253</v>
      </c>
      <c r="G60" s="78">
        <f t="shared" si="1"/>
        <v>0.27710120113021253</v>
      </c>
      <c r="H60" s="78">
        <f t="shared" si="1"/>
        <v>0.27710120113021253</v>
      </c>
      <c r="I60" s="78">
        <f t="shared" si="1"/>
        <v>0.27710120113021253</v>
      </c>
      <c r="J60" s="78">
        <f t="shared" si="1"/>
        <v>0.27710120113021253</v>
      </c>
      <c r="K60" s="78">
        <f t="shared" si="1"/>
        <v>0.27710120113021253</v>
      </c>
      <c r="L60" s="78">
        <f t="shared" si="1"/>
        <v>0.27710120113021253</v>
      </c>
      <c r="M60" s="78">
        <f t="shared" si="1"/>
        <v>0.27710120113021253</v>
      </c>
      <c r="N60" s="78">
        <f t="shared" si="1"/>
        <v>0.27710120113021253</v>
      </c>
      <c r="O60" s="78">
        <f t="shared" si="1"/>
        <v>0.27710120113021253</v>
      </c>
      <c r="P60" s="78">
        <f t="shared" si="1"/>
        <v>0.27710120113021253</v>
      </c>
      <c r="Q60" s="78">
        <f t="shared" si="1"/>
        <v>0.27710120113021253</v>
      </c>
      <c r="R60" s="78">
        <f t="shared" si="1"/>
        <v>0.27710120113021253</v>
      </c>
      <c r="S60" s="78">
        <f t="shared" si="1"/>
        <v>0.27710120113021253</v>
      </c>
      <c r="T60" s="78">
        <f t="shared" si="1"/>
        <v>0.27710120113021253</v>
      </c>
      <c r="U60" s="78">
        <f t="shared" si="1"/>
        <v>0.27710120113021253</v>
      </c>
      <c r="V60" s="78">
        <f t="shared" si="1"/>
        <v>0.27710120113021253</v>
      </c>
    </row>
    <row r="81" spans="2:22" x14ac:dyDescent="0.5">
      <c r="B81" s="75" t="s">
        <v>165</v>
      </c>
    </row>
    <row r="82" spans="2:22" x14ac:dyDescent="0.5">
      <c r="B82" t="str">
        <f>' LPI Calculator'!A9</f>
        <v>Insured Index ($/cwt)</v>
      </c>
      <c r="C82" s="73">
        <f>' LPI Calculator'!C9</f>
        <v>392</v>
      </c>
      <c r="D82" s="73">
        <f>' LPI Calculator'!D9</f>
        <v>390</v>
      </c>
      <c r="E82" s="73">
        <f>' LPI Calculator'!E9</f>
        <v>388</v>
      </c>
      <c r="F82" s="73">
        <f>' LPI Calculator'!F9</f>
        <v>386</v>
      </c>
      <c r="G82" s="73">
        <f>' LPI Calculator'!G9</f>
        <v>384</v>
      </c>
      <c r="H82" s="73">
        <f>' LPI Calculator'!H9</f>
        <v>382</v>
      </c>
      <c r="I82" s="73">
        <f>' LPI Calculator'!I9</f>
        <v>380</v>
      </c>
      <c r="J82" s="73">
        <f>' LPI Calculator'!J9</f>
        <v>378</v>
      </c>
      <c r="K82" s="73">
        <f>' LPI Calculator'!K9</f>
        <v>376</v>
      </c>
      <c r="L82" s="73">
        <f>' LPI Calculator'!L9</f>
        <v>374</v>
      </c>
      <c r="M82" s="73">
        <f>' LPI Calculator'!M9</f>
        <v>372</v>
      </c>
      <c r="N82" s="73">
        <f>' LPI Calculator'!N9</f>
        <v>370</v>
      </c>
      <c r="O82" s="73">
        <f>' LPI Calculator'!O9</f>
        <v>368</v>
      </c>
      <c r="P82" s="73">
        <f>' LPI Calculator'!P9</f>
        <v>366</v>
      </c>
      <c r="Q82" s="73">
        <f>' LPI Calculator'!Q9</f>
        <v>364</v>
      </c>
      <c r="R82" s="73">
        <f>' LPI Calculator'!R9</f>
        <v>362</v>
      </c>
      <c r="S82" s="73">
        <f>' LPI Calculator'!S9</f>
        <v>360</v>
      </c>
      <c r="T82" s="73">
        <f>' LPI Calculator'!T9</f>
        <v>358</v>
      </c>
      <c r="U82" s="73">
        <f>' LPI Calculator'!U9</f>
        <v>356</v>
      </c>
      <c r="V82" s="73">
        <f>' LPI Calculator'!V9</f>
        <v>354</v>
      </c>
    </row>
    <row r="83" spans="2:22" x14ac:dyDescent="0.5">
      <c r="B83" t="s">
        <v>60</v>
      </c>
      <c r="C83" s="78">
        <f>IF(' LPI Calculator'!C23="", #N/A,' LPI Calculator'!C23)</f>
        <v>2.9897959183673471E-2</v>
      </c>
      <c r="D83" s="78">
        <f>IF(' LPI Calculator'!D23="", #N/A,' LPI Calculator'!D23)</f>
        <v>2.7179487179487177E-2</v>
      </c>
      <c r="E83" s="78">
        <f>IF(' LPI Calculator'!E23="", #N/A,' LPI Calculator'!E23)</f>
        <v>2.4587628865979379E-2</v>
      </c>
      <c r="F83" s="78">
        <f>IF(' LPI Calculator'!F23="", #N/A,' LPI Calculator'!F23)</f>
        <v>2.1839378238341967E-2</v>
      </c>
      <c r="G83" s="78">
        <f>IF(' LPI Calculator'!G23="", #N/A,' LPI Calculator'!G23)</f>
        <v>1.9192708333333332E-2</v>
      </c>
      <c r="H83" s="78">
        <f>IF(' LPI Calculator'!H23="", #N/A,' LPI Calculator'!H23)</f>
        <v>1.7146596858638743E-2</v>
      </c>
      <c r="I83" s="78">
        <f>IF(' LPI Calculator'!I23="", #N/A,' LPI Calculator'!I23)</f>
        <v>1.4710526315789473E-2</v>
      </c>
      <c r="J83" s="78">
        <f>IF(' LPI Calculator'!J23="", #N/A,' LPI Calculator'!J23)</f>
        <v>1.2883597883597884E-2</v>
      </c>
      <c r="K83" s="78">
        <f>IF(' LPI Calculator'!K23="", #N/A,' LPI Calculator'!K23)</f>
        <v>1.0797872340425532E-2</v>
      </c>
      <c r="L83" s="78">
        <f>IF(' LPI Calculator'!L23="", #N/A,' LPI Calculator'!L23)</f>
        <v>9.0106951871657768E-3</v>
      </c>
      <c r="M83" s="78">
        <f>IF(' LPI Calculator'!M23="", #N/A,' LPI Calculator'!M23)</f>
        <v>8.5483870967741939E-3</v>
      </c>
      <c r="N83" s="78">
        <f>IF(' LPI Calculator'!N23="", #N/A,' LPI Calculator'!N23)</f>
        <v>7.9729729729729748E-3</v>
      </c>
      <c r="O83" s="78">
        <f>IF(' LPI Calculator'!O23="", #N/A,' LPI Calculator'!O23)</f>
        <v>7.6630434782608697E-3</v>
      </c>
      <c r="P83" s="78">
        <f>IF(' LPI Calculator'!P23="", #N/A,' LPI Calculator'!P23)</f>
        <v>7.3497267759562836E-3</v>
      </c>
      <c r="Q83" s="78">
        <f>IF(' LPI Calculator'!Q23="", #N/A,' LPI Calculator'!Q23)</f>
        <v>7.0604395604395602E-3</v>
      </c>
      <c r="R83" s="78" t="e">
        <f>IF(' LPI Calculator'!R23="", #N/A,' LPI Calculator'!R23)</f>
        <v>#N/A</v>
      </c>
      <c r="S83" s="78" t="e">
        <f>IF(' LPI Calculator'!S23="", #N/A,' LPI Calculator'!S23)</f>
        <v>#N/A</v>
      </c>
      <c r="T83" s="78" t="e">
        <f>IF(' LPI Calculator'!T23="", #N/A,' LPI Calculator'!T23)</f>
        <v>#N/A</v>
      </c>
      <c r="U83" s="78" t="e">
        <f>IF(' LPI Calculator'!U23="", #N/A,' LPI Calculator'!U23)</f>
        <v>#N/A</v>
      </c>
      <c r="V83" s="78" t="e">
        <f>IF(' LPI Calculator'!V23="", #N/A,' LPI Calculator'!V23)</f>
        <v>#N/A</v>
      </c>
    </row>
    <row r="84" spans="2:22" x14ac:dyDescent="0.5">
      <c r="B84" t="s">
        <v>65</v>
      </c>
      <c r="C84" s="77">
        <f>IF(' LPI Calculator'!C31="","",' LPI Calculator'!C31)</f>
        <v>0.56000000000000005</v>
      </c>
      <c r="D84" s="77">
        <f>IF(' LPI Calculator'!D31="","",' LPI Calculator'!D31)</f>
        <v>0.53</v>
      </c>
      <c r="E84" s="77">
        <f>IF(' LPI Calculator'!E31="","",' LPI Calculator'!E31)</f>
        <v>0.55500000000000005</v>
      </c>
      <c r="F84" s="77">
        <f>IF(' LPI Calculator'!F31="","",' LPI Calculator'!F31)</f>
        <v>0.53</v>
      </c>
      <c r="G84" s="77">
        <f>IF(' LPI Calculator'!G31="","",' LPI Calculator'!G31)</f>
        <v>0.41</v>
      </c>
      <c r="H84" s="77">
        <f>IF(' LPI Calculator'!H31="","",' LPI Calculator'!H31)</f>
        <v>0.48</v>
      </c>
      <c r="I84" s="77">
        <f>IF(' LPI Calculator'!I31="","",' LPI Calculator'!I31)</f>
        <v>0.36</v>
      </c>
      <c r="J84" s="77">
        <f>IF(' LPI Calculator'!J31="","",' LPI Calculator'!J31)</f>
        <v>0.40500000000000003</v>
      </c>
      <c r="K84" s="77">
        <f>IF(' LPI Calculator'!K31="","",' LPI Calculator'!K31)</f>
        <v>0.34499999999999981</v>
      </c>
      <c r="L84" s="77">
        <f>IF(' LPI Calculator'!L31="","",' LPI Calculator'!L31)</f>
        <v>9.5000000000000195E-2</v>
      </c>
      <c r="M84" s="77">
        <f>IF(' LPI Calculator'!M31="","",' LPI Calculator'!M31)</f>
        <v>0.1149999999999998</v>
      </c>
      <c r="N84" s="77">
        <f>IF(' LPI Calculator'!N31="","",' LPI Calculator'!N31)</f>
        <v>6.5000000000000197E-2</v>
      </c>
      <c r="O84" s="77">
        <f>IF(' LPI Calculator'!O31="","",' LPI Calculator'!O31)</f>
        <v>6.5000000000000002E-2</v>
      </c>
      <c r="P84" s="77">
        <f>IF(' LPI Calculator'!P31="","",' LPI Calculator'!P31)</f>
        <v>0.06</v>
      </c>
      <c r="Q84" s="77" t="str">
        <f>IF(' LPI Calculator'!Q31="","",' LPI Calculator'!Q31)</f>
        <v/>
      </c>
      <c r="R84" s="77" t="str">
        <f>IF(' LPI Calculator'!R31="","",' LPI Calculator'!R31)</f>
        <v/>
      </c>
      <c r="S84" s="77" t="str">
        <f>IF(' LPI Calculator'!S31="","",' LPI Calculator'!S31)</f>
        <v/>
      </c>
      <c r="T84" s="77" t="str">
        <f>IF(' LPI Calculator'!T31="","",' LPI Calculator'!T31)</f>
        <v/>
      </c>
      <c r="U84" s="77" t="str">
        <f>IF(' LPI Calculator'!U31="","",' LPI Calculator'!U31)</f>
        <v/>
      </c>
      <c r="V84" s="77" t="str">
        <f>IF(' LPI Calculator'!V31="","",' LPI Calculator'!V31)</f>
        <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F69"/>
  <sheetViews>
    <sheetView showGridLines="0" topLeftCell="A10" zoomScale="90" zoomScaleNormal="90" workbookViewId="0">
      <selection activeCell="F23" sqref="F23"/>
    </sheetView>
  </sheetViews>
  <sheetFormatPr defaultColWidth="8" defaultRowHeight="17.399999999999999" x14ac:dyDescent="0.55000000000000004"/>
  <cols>
    <col min="1" max="1" width="1.6328125" style="3" customWidth="1"/>
    <col min="2" max="2" width="29.08984375" style="3" customWidth="1"/>
    <col min="3" max="22" width="8.81640625" style="3" customWidth="1"/>
    <col min="23" max="16384" width="8" style="2"/>
  </cols>
  <sheetData>
    <row r="1" spans="1:84" s="16" customFormat="1" ht="27" customHeight="1" x14ac:dyDescent="0.5">
      <c r="A1" s="14"/>
      <c r="B1" s="14"/>
      <c r="C1" s="15"/>
      <c r="D1" s="15"/>
      <c r="E1" s="15"/>
      <c r="F1" s="15"/>
    </row>
    <row r="2" spans="1:84" s="16" customFormat="1" ht="27" x14ac:dyDescent="0.85">
      <c r="A2" s="17" t="s">
        <v>56</v>
      </c>
      <c r="B2" s="14"/>
      <c r="C2" s="15"/>
      <c r="D2" s="15"/>
      <c r="E2" s="15"/>
      <c r="F2" s="15"/>
    </row>
    <row r="3" spans="1:84" s="16" customFormat="1" ht="20.100000000000001" x14ac:dyDescent="0.7">
      <c r="A3" s="25" t="s">
        <v>64</v>
      </c>
      <c r="B3" s="14"/>
      <c r="C3" s="15"/>
      <c r="D3" s="15"/>
      <c r="U3" s="18" t="s">
        <v>7</v>
      </c>
      <c r="V3" s="19">
        <f ca="1">TODAY()</f>
        <v>45489</v>
      </c>
    </row>
    <row r="4" spans="1:84" ht="7.5" customHeight="1" thickBot="1" x14ac:dyDescent="0.6"/>
    <row r="5" spans="1:84" s="10" customFormat="1" ht="15.3" thickBot="1" x14ac:dyDescent="0.55000000000000004">
      <c r="A5" s="5" t="s">
        <v>44</v>
      </c>
      <c r="C5" s="57">
        <f>' LPI Calculator'!C14</f>
        <v>575</v>
      </c>
      <c r="D5" s="10" t="s">
        <v>5</v>
      </c>
      <c r="H5" s="63" t="s">
        <v>69</v>
      </c>
      <c r="I5" s="79">
        <f>' LPI Calculator'!I14</f>
        <v>325</v>
      </c>
      <c r="J5" s="5" t="s">
        <v>70</v>
      </c>
      <c r="M5" s="64" t="s">
        <v>84</v>
      </c>
      <c r="N5" s="80" t="str">
        <f>' LPI Calculator'!G7</f>
        <v>February</v>
      </c>
      <c r="O5" s="81">
        <f>' LPI Calculator'!H7</f>
        <v>8</v>
      </c>
    </row>
    <row r="6" spans="1:84" ht="18" customHeight="1" x14ac:dyDescent="0.55000000000000004">
      <c r="A6" s="5" t="s">
        <v>45</v>
      </c>
      <c r="B6" s="10"/>
      <c r="C6" s="82">
        <f>' LPI Calculator'!C15</f>
        <v>100</v>
      </c>
      <c r="D6" s="5" t="s">
        <v>46</v>
      </c>
      <c r="E6" s="2"/>
      <c r="F6" s="2"/>
      <c r="G6" s="10"/>
      <c r="H6" s="64" t="s">
        <v>97</v>
      </c>
      <c r="I6" s="83">
        <v>1500</v>
      </c>
      <c r="J6" s="5" t="s">
        <v>96</v>
      </c>
    </row>
    <row r="7" spans="1:84" ht="18" customHeight="1" x14ac:dyDescent="0.55000000000000004">
      <c r="A7" s="5" t="s">
        <v>101</v>
      </c>
      <c r="B7" s="10"/>
      <c r="C7" s="57">
        <f>SUM(C6*C5)</f>
        <v>57500</v>
      </c>
      <c r="D7" s="10" t="s">
        <v>5</v>
      </c>
      <c r="E7" s="2"/>
      <c r="F7" s="24" t="s">
        <v>12</v>
      </c>
    </row>
    <row r="8" spans="1:84" ht="18" customHeight="1" x14ac:dyDescent="0.55000000000000004">
      <c r="A8" s="5"/>
      <c r="B8" s="10"/>
      <c r="C8" s="57"/>
      <c r="D8" s="10"/>
      <c r="E8" s="2"/>
      <c r="F8" s="2"/>
      <c r="BB8" s="2">
        <v>1</v>
      </c>
      <c r="BC8" s="2">
        <f>SUM(BB8+1)</f>
        <v>2</v>
      </c>
      <c r="BD8" s="2">
        <f t="shared" ref="BD8:CF8" si="0">SUM(BC8+1)</f>
        <v>3</v>
      </c>
      <c r="BE8" s="2">
        <f t="shared" si="0"/>
        <v>4</v>
      </c>
      <c r="BF8" s="2">
        <f t="shared" si="0"/>
        <v>5</v>
      </c>
      <c r="BG8" s="2">
        <f t="shared" si="0"/>
        <v>6</v>
      </c>
      <c r="BH8" s="2">
        <f t="shared" si="0"/>
        <v>7</v>
      </c>
      <c r="BI8" s="2">
        <f t="shared" si="0"/>
        <v>8</v>
      </c>
      <c r="BJ8" s="2">
        <f t="shared" si="0"/>
        <v>9</v>
      </c>
      <c r="BK8" s="2">
        <f t="shared" si="0"/>
        <v>10</v>
      </c>
      <c r="BL8" s="2">
        <f t="shared" si="0"/>
        <v>11</v>
      </c>
      <c r="BM8" s="2">
        <f t="shared" si="0"/>
        <v>12</v>
      </c>
      <c r="BN8" s="2">
        <f t="shared" si="0"/>
        <v>13</v>
      </c>
      <c r="BO8" s="2">
        <f t="shared" si="0"/>
        <v>14</v>
      </c>
      <c r="BP8" s="2">
        <f t="shared" si="0"/>
        <v>15</v>
      </c>
      <c r="BQ8" s="2">
        <f t="shared" si="0"/>
        <v>16</v>
      </c>
      <c r="BR8" s="2">
        <f t="shared" si="0"/>
        <v>17</v>
      </c>
      <c r="BS8" s="2">
        <f t="shared" si="0"/>
        <v>18</v>
      </c>
      <c r="BT8" s="2">
        <f t="shared" si="0"/>
        <v>19</v>
      </c>
      <c r="BU8" s="2">
        <f t="shared" si="0"/>
        <v>20</v>
      </c>
      <c r="BV8" s="2">
        <f t="shared" si="0"/>
        <v>21</v>
      </c>
      <c r="BW8" s="2">
        <f t="shared" si="0"/>
        <v>22</v>
      </c>
      <c r="BX8" s="2">
        <f t="shared" si="0"/>
        <v>23</v>
      </c>
      <c r="BY8" s="2">
        <f t="shared" si="0"/>
        <v>24</v>
      </c>
      <c r="BZ8" s="2">
        <f t="shared" si="0"/>
        <v>25</v>
      </c>
      <c r="CA8" s="2">
        <f t="shared" si="0"/>
        <v>26</v>
      </c>
      <c r="CB8" s="2">
        <f t="shared" si="0"/>
        <v>27</v>
      </c>
      <c r="CC8" s="2">
        <f t="shared" si="0"/>
        <v>28</v>
      </c>
      <c r="CD8" s="2">
        <f t="shared" si="0"/>
        <v>29</v>
      </c>
      <c r="CE8" s="2">
        <f t="shared" si="0"/>
        <v>30</v>
      </c>
      <c r="CF8" s="2">
        <f t="shared" si="0"/>
        <v>31</v>
      </c>
    </row>
    <row r="9" spans="1:84" ht="18" customHeight="1" x14ac:dyDescent="0.55000000000000004">
      <c r="A9" s="5"/>
      <c r="B9" s="10"/>
      <c r="C9" s="7"/>
      <c r="D9" s="10"/>
      <c r="E9" s="2"/>
      <c r="F9" s="2"/>
      <c r="BB9" s="2" t="s">
        <v>72</v>
      </c>
      <c r="BC9" s="2" t="s">
        <v>73</v>
      </c>
      <c r="BD9" s="2" t="s">
        <v>74</v>
      </c>
      <c r="BE9" s="2" t="s">
        <v>75</v>
      </c>
      <c r="BF9" s="2" t="s">
        <v>76</v>
      </c>
      <c r="BG9" s="2" t="s">
        <v>77</v>
      </c>
      <c r="BH9" s="2" t="s">
        <v>78</v>
      </c>
      <c r="BI9" s="2" t="s">
        <v>79</v>
      </c>
      <c r="BJ9" s="2" t="s">
        <v>80</v>
      </c>
      <c r="BK9" s="2" t="s">
        <v>81</v>
      </c>
      <c r="BL9" s="2" t="s">
        <v>82</v>
      </c>
      <c r="BM9" s="2" t="s">
        <v>83</v>
      </c>
    </row>
    <row r="10" spans="1:84" ht="17.7" x14ac:dyDescent="0.55000000000000004">
      <c r="A10" s="120" t="s">
        <v>52</v>
      </c>
      <c r="B10" s="120"/>
      <c r="C10" s="120"/>
      <c r="D10" s="120"/>
      <c r="E10" s="120"/>
      <c r="F10" s="120"/>
      <c r="G10" s="120"/>
      <c r="H10" s="120"/>
      <c r="I10" s="120"/>
      <c r="J10" s="120"/>
      <c r="K10" s="120"/>
      <c r="L10" s="120"/>
      <c r="M10" s="120"/>
      <c r="N10" s="120"/>
      <c r="O10" s="120"/>
      <c r="P10" s="120"/>
      <c r="Q10" s="120"/>
      <c r="R10" s="120"/>
      <c r="S10" s="120"/>
      <c r="T10" s="120"/>
      <c r="U10" s="120"/>
      <c r="V10" s="120"/>
      <c r="W10" s="1"/>
      <c r="X10" s="1"/>
      <c r="Y10" s="1"/>
      <c r="Z10" s="1"/>
      <c r="AA10" s="1"/>
    </row>
    <row r="11" spans="1:84" ht="7.5" customHeight="1" x14ac:dyDescent="0.55000000000000004">
      <c r="A11" s="44"/>
      <c r="B11" s="44"/>
      <c r="C11" s="44"/>
      <c r="D11" s="44"/>
      <c r="E11" s="44"/>
      <c r="F11" s="44"/>
      <c r="G11" s="44"/>
      <c r="H11" s="44"/>
      <c r="I11" s="44"/>
      <c r="J11" s="44"/>
      <c r="K11" s="44"/>
      <c r="L11" s="44"/>
      <c r="M11" s="44"/>
      <c r="N11" s="44"/>
      <c r="O11" s="44"/>
      <c r="P11" s="44"/>
      <c r="Q11" s="44"/>
      <c r="R11" s="44"/>
      <c r="S11" s="44"/>
      <c r="T11" s="44"/>
      <c r="U11" s="44"/>
      <c r="V11" s="44"/>
      <c r="W11" s="1"/>
      <c r="X11" s="1"/>
      <c r="Y11" s="1"/>
      <c r="Z11" s="1"/>
      <c r="AA11" s="1"/>
    </row>
    <row r="12" spans="1:84" x14ac:dyDescent="0.55000000000000004">
      <c r="A12" s="1"/>
      <c r="C12" s="122" t="s">
        <v>57</v>
      </c>
      <c r="D12" s="122"/>
      <c r="E12" s="122"/>
      <c r="F12" s="122"/>
      <c r="G12" s="122"/>
      <c r="H12" s="122"/>
      <c r="I12" s="122"/>
      <c r="J12" s="122"/>
      <c r="K12" s="122"/>
      <c r="L12" s="122"/>
      <c r="M12" s="122"/>
      <c r="N12" s="122"/>
      <c r="O12" s="122"/>
      <c r="P12" s="122"/>
      <c r="Q12" s="122"/>
      <c r="R12" s="122"/>
      <c r="S12" s="122"/>
      <c r="T12" s="122"/>
      <c r="U12" s="122"/>
      <c r="V12" s="122"/>
    </row>
    <row r="13" spans="1:84" x14ac:dyDescent="0.55000000000000004">
      <c r="A13" s="1" t="s">
        <v>66</v>
      </c>
      <c r="B13" s="2"/>
      <c r="C13" s="84">
        <f>' LPI Calculator'!C9</f>
        <v>392</v>
      </c>
      <c r="D13" s="58">
        <f>SUM(C13-2)</f>
        <v>390</v>
      </c>
      <c r="E13" s="58">
        <f t="shared" ref="E13:V13" si="1">SUM(D13-2)</f>
        <v>388</v>
      </c>
      <c r="F13" s="58">
        <f t="shared" si="1"/>
        <v>386</v>
      </c>
      <c r="G13" s="58">
        <f t="shared" si="1"/>
        <v>384</v>
      </c>
      <c r="H13" s="58">
        <f t="shared" si="1"/>
        <v>382</v>
      </c>
      <c r="I13" s="58">
        <f t="shared" si="1"/>
        <v>380</v>
      </c>
      <c r="J13" s="58">
        <f t="shared" si="1"/>
        <v>378</v>
      </c>
      <c r="K13" s="58">
        <f t="shared" si="1"/>
        <v>376</v>
      </c>
      <c r="L13" s="58">
        <f t="shared" si="1"/>
        <v>374</v>
      </c>
      <c r="M13" s="58">
        <f t="shared" si="1"/>
        <v>372</v>
      </c>
      <c r="N13" s="58">
        <f t="shared" si="1"/>
        <v>370</v>
      </c>
      <c r="O13" s="58">
        <f t="shared" si="1"/>
        <v>368</v>
      </c>
      <c r="P13" s="58">
        <f t="shared" si="1"/>
        <v>366</v>
      </c>
      <c r="Q13" s="58">
        <f t="shared" si="1"/>
        <v>364</v>
      </c>
      <c r="R13" s="58">
        <f t="shared" si="1"/>
        <v>362</v>
      </c>
      <c r="S13" s="58">
        <f t="shared" si="1"/>
        <v>360</v>
      </c>
      <c r="T13" s="58">
        <f t="shared" si="1"/>
        <v>358</v>
      </c>
      <c r="U13" s="58">
        <f t="shared" si="1"/>
        <v>356</v>
      </c>
      <c r="V13" s="58">
        <f t="shared" si="1"/>
        <v>354</v>
      </c>
    </row>
    <row r="14" spans="1:84" x14ac:dyDescent="0.55000000000000004">
      <c r="A14" s="1" t="s">
        <v>67</v>
      </c>
      <c r="B14" s="2"/>
      <c r="C14" s="85">
        <f>' LPI Calculator'!C10</f>
        <v>11.72</v>
      </c>
      <c r="D14" s="85">
        <f>' LPI Calculator'!D10</f>
        <v>10.6</v>
      </c>
      <c r="E14" s="85">
        <f>' LPI Calculator'!E10</f>
        <v>9.5399999999999991</v>
      </c>
      <c r="F14" s="85">
        <f>' LPI Calculator'!F10</f>
        <v>8.43</v>
      </c>
      <c r="G14" s="85">
        <f>' LPI Calculator'!G10</f>
        <v>7.37</v>
      </c>
      <c r="H14" s="85">
        <f>' LPI Calculator'!H10</f>
        <v>6.55</v>
      </c>
      <c r="I14" s="85">
        <f>' LPI Calculator'!I10</f>
        <v>5.59</v>
      </c>
      <c r="J14" s="85">
        <f>' LPI Calculator'!J10</f>
        <v>4.87</v>
      </c>
      <c r="K14" s="85">
        <f>' LPI Calculator'!K10</f>
        <v>4.0599999999999996</v>
      </c>
      <c r="L14" s="85">
        <f>' LPI Calculator'!L10</f>
        <v>3.37</v>
      </c>
      <c r="M14" s="85">
        <f>' LPI Calculator'!M10</f>
        <v>3.18</v>
      </c>
      <c r="N14" s="85">
        <f>' LPI Calculator'!N10</f>
        <v>2.95</v>
      </c>
      <c r="O14" s="85">
        <f>' LPI Calculator'!O10</f>
        <v>2.82</v>
      </c>
      <c r="P14" s="85">
        <f>' LPI Calculator'!P10</f>
        <v>2.69</v>
      </c>
      <c r="Q14" s="85">
        <f>' LPI Calculator'!Q10</f>
        <v>2.57</v>
      </c>
      <c r="R14" s="85">
        <f>' LPI Calculator'!R10</f>
        <v>0</v>
      </c>
      <c r="S14" s="85">
        <f>' LPI Calculator'!S10</f>
        <v>0</v>
      </c>
      <c r="T14" s="85">
        <f>' LPI Calculator'!T10</f>
        <v>0</v>
      </c>
      <c r="U14" s="85">
        <f>' LPI Calculator'!U10</f>
        <v>0</v>
      </c>
      <c r="V14" s="85">
        <f>' LPI Calculator'!V10</f>
        <v>0</v>
      </c>
    </row>
    <row r="15" spans="1:84" ht="7.5" customHeight="1" x14ac:dyDescent="0.55000000000000004">
      <c r="C15" s="9"/>
      <c r="D15" s="9"/>
      <c r="E15" s="9"/>
      <c r="F15" s="9"/>
      <c r="G15" s="9"/>
      <c r="H15" s="9"/>
      <c r="I15" s="9"/>
      <c r="J15" s="9"/>
      <c r="K15" s="9"/>
      <c r="L15" s="9"/>
      <c r="M15" s="9"/>
      <c r="N15" s="9"/>
      <c r="O15" s="9"/>
      <c r="P15" s="9"/>
      <c r="Q15" s="9"/>
      <c r="R15" s="9"/>
      <c r="S15" s="9"/>
      <c r="T15" s="9"/>
      <c r="U15" s="9"/>
      <c r="V15" s="9"/>
    </row>
    <row r="16" spans="1:84" ht="17.7" x14ac:dyDescent="0.55000000000000004">
      <c r="A16" s="120" t="s">
        <v>51</v>
      </c>
      <c r="B16" s="120"/>
      <c r="C16" s="120"/>
      <c r="D16" s="120"/>
      <c r="E16" s="120"/>
      <c r="F16" s="120"/>
      <c r="G16" s="120"/>
      <c r="H16" s="120"/>
      <c r="I16" s="120"/>
      <c r="J16" s="120"/>
      <c r="K16" s="120"/>
      <c r="L16" s="120"/>
      <c r="M16" s="120"/>
      <c r="N16" s="120"/>
      <c r="O16" s="120"/>
      <c r="P16" s="120"/>
      <c r="Q16" s="120"/>
      <c r="R16" s="120"/>
      <c r="S16" s="120"/>
      <c r="T16" s="120"/>
      <c r="U16" s="120"/>
      <c r="V16" s="120"/>
      <c r="W16" s="1"/>
      <c r="X16" s="1"/>
      <c r="Y16" s="1"/>
      <c r="Z16" s="1"/>
      <c r="AA16" s="1"/>
    </row>
    <row r="17" spans="1:28" ht="7.5" customHeight="1" x14ac:dyDescent="0.55000000000000004">
      <c r="A17" s="44"/>
      <c r="B17" s="44"/>
      <c r="C17" s="44"/>
      <c r="D17" s="44"/>
      <c r="E17" s="44"/>
      <c r="F17" s="44"/>
      <c r="G17" s="44"/>
      <c r="H17" s="44"/>
      <c r="I17" s="44"/>
      <c r="J17" s="44"/>
      <c r="K17" s="44"/>
      <c r="L17" s="44"/>
      <c r="M17" s="44"/>
      <c r="N17" s="44"/>
      <c r="O17" s="44"/>
      <c r="P17" s="44"/>
      <c r="Q17" s="44"/>
      <c r="R17" s="44"/>
      <c r="S17" s="44"/>
      <c r="T17" s="44"/>
      <c r="U17" s="44"/>
      <c r="V17" s="44"/>
      <c r="W17" s="1"/>
      <c r="X17" s="1"/>
      <c r="Y17" s="1"/>
      <c r="Z17" s="1"/>
      <c r="AA17" s="1"/>
    </row>
    <row r="18" spans="1:28" ht="17.7" x14ac:dyDescent="0.6">
      <c r="A18" s="1" t="str">
        <f>"Premium Cost ($/head @ "&amp;C5&amp;" lbs)"</f>
        <v>Premium Cost ($/head @ 575 lbs)</v>
      </c>
      <c r="B18" s="61"/>
      <c r="C18" s="40">
        <f>IF(SUM(C14*($C$5/100))=0,"",SUM(C23/$C$6))</f>
        <v>15</v>
      </c>
      <c r="D18" s="40">
        <f>IF(SUM(D14*($C$5/100))=0,"",SUM(D23/$C$6))</f>
        <v>15</v>
      </c>
      <c r="E18" s="40">
        <f>IF(SUM(E14*($C$5/100))=0,"",SUM(E23/$C$6))</f>
        <v>15</v>
      </c>
      <c r="F18" s="40">
        <f>IF(SUM(F14*($C$5/100))=0,"",SUM(F23/$C$6))</f>
        <v>15</v>
      </c>
      <c r="G18" s="40">
        <f t="shared" ref="G18:V18" si="2">IF(SUM(G14*($C$5/100))=0,"",SUM(G23/$C$6))</f>
        <v>15</v>
      </c>
      <c r="H18" s="40">
        <f t="shared" si="2"/>
        <v>15</v>
      </c>
      <c r="I18" s="40">
        <f t="shared" si="2"/>
        <v>15</v>
      </c>
      <c r="J18" s="40">
        <f t="shared" si="2"/>
        <v>15</v>
      </c>
      <c r="K18" s="40">
        <f t="shared" si="2"/>
        <v>15</v>
      </c>
      <c r="L18" s="40">
        <f t="shared" si="2"/>
        <v>15</v>
      </c>
      <c r="M18" s="40">
        <f t="shared" si="2"/>
        <v>15</v>
      </c>
      <c r="N18" s="40">
        <f t="shared" si="2"/>
        <v>15</v>
      </c>
      <c r="O18" s="40">
        <f t="shared" si="2"/>
        <v>15</v>
      </c>
      <c r="P18" s="40">
        <f t="shared" si="2"/>
        <v>15</v>
      </c>
      <c r="Q18" s="40">
        <f t="shared" si="2"/>
        <v>14.7775</v>
      </c>
      <c r="R18" s="40" t="str">
        <f t="shared" si="2"/>
        <v/>
      </c>
      <c r="S18" s="40" t="str">
        <f t="shared" si="2"/>
        <v/>
      </c>
      <c r="T18" s="40" t="str">
        <f t="shared" si="2"/>
        <v/>
      </c>
      <c r="U18" s="40" t="str">
        <f t="shared" si="2"/>
        <v/>
      </c>
      <c r="V18" s="40" t="str">
        <f t="shared" si="2"/>
        <v/>
      </c>
    </row>
    <row r="19" spans="1:28" ht="17.7" x14ac:dyDescent="0.6">
      <c r="A19" s="1" t="str">
        <f>"Insured Value ($/head @ "&amp;C5&amp;" lbs)"</f>
        <v>Insured Value ($/head @ 575 lbs)</v>
      </c>
      <c r="B19" s="61"/>
      <c r="C19" s="42">
        <f>IF(SUM(C14*($C$5/100))=0,"",SUM((C18/C14)*(C13)))</f>
        <v>501.70648464163821</v>
      </c>
      <c r="D19" s="42">
        <f>IF(SUM(D14*($C$5/100))=0,"",SUM((D18/D14)*(D13)))</f>
        <v>551.88679245283026</v>
      </c>
      <c r="E19" s="42">
        <f>IF(SUM(E14*($C$5/100))=0,"",SUM((E18/E14)*(E13)))</f>
        <v>610.06289308176099</v>
      </c>
      <c r="F19" s="42">
        <f>IF(SUM(F14*($C$5/100))=0,"",SUM((F18/F14)*(F13)))</f>
        <v>686.83274021352315</v>
      </c>
      <c r="G19" s="42">
        <f t="shared" ref="G19:V19" si="3">IF(SUM(G14*($C$5/100))=0,"",SUM((G18/G14)*(G13)))</f>
        <v>781.54681139755769</v>
      </c>
      <c r="H19" s="42">
        <f t="shared" si="3"/>
        <v>874.80916030534365</v>
      </c>
      <c r="I19" s="42">
        <f t="shared" si="3"/>
        <v>1019.6779964221826</v>
      </c>
      <c r="J19" s="42">
        <f t="shared" si="3"/>
        <v>1164.2710472279261</v>
      </c>
      <c r="K19" s="42">
        <f t="shared" si="3"/>
        <v>1389.1625615763548</v>
      </c>
      <c r="L19" s="42">
        <f t="shared" si="3"/>
        <v>1664.6884272997031</v>
      </c>
      <c r="M19" s="42">
        <f t="shared" si="3"/>
        <v>1754.7169811320753</v>
      </c>
      <c r="N19" s="42">
        <f t="shared" si="3"/>
        <v>1881.3559322033898</v>
      </c>
      <c r="O19" s="42">
        <f t="shared" si="3"/>
        <v>1957.4468085106382</v>
      </c>
      <c r="P19" s="42">
        <f t="shared" si="3"/>
        <v>2040.8921933085501</v>
      </c>
      <c r="Q19" s="42">
        <f t="shared" si="3"/>
        <v>2093</v>
      </c>
      <c r="R19" s="42" t="str">
        <f t="shared" si="3"/>
        <v/>
      </c>
      <c r="S19" s="42" t="str">
        <f t="shared" si="3"/>
        <v/>
      </c>
      <c r="T19" s="42" t="str">
        <f t="shared" si="3"/>
        <v/>
      </c>
      <c r="U19" s="42" t="str">
        <f t="shared" si="3"/>
        <v/>
      </c>
      <c r="V19" s="42" t="str">
        <f t="shared" si="3"/>
        <v/>
      </c>
    </row>
    <row r="20" spans="1:28" ht="7.5" customHeight="1" x14ac:dyDescent="0.6">
      <c r="A20" s="1"/>
      <c r="B20" s="61"/>
      <c r="C20" s="42"/>
      <c r="D20" s="42"/>
      <c r="E20" s="42"/>
      <c r="F20" s="42"/>
      <c r="G20" s="42"/>
      <c r="H20" s="42"/>
      <c r="I20" s="42"/>
      <c r="J20" s="42"/>
      <c r="K20" s="42"/>
      <c r="L20" s="42"/>
      <c r="M20" s="42"/>
      <c r="N20" s="42"/>
      <c r="O20" s="42"/>
      <c r="P20" s="42"/>
      <c r="Q20" s="42"/>
      <c r="R20" s="42"/>
      <c r="S20" s="42"/>
      <c r="T20" s="42"/>
      <c r="U20" s="42"/>
      <c r="V20" s="42"/>
    </row>
    <row r="21" spans="1:28" ht="17.7" x14ac:dyDescent="0.6">
      <c r="A21" s="1" t="s">
        <v>60</v>
      </c>
      <c r="B21" s="61"/>
      <c r="C21" s="41">
        <f>IF(SUM(C14*($C$5/100))=0,"",SUM(C18/C19))</f>
        <v>2.9897959183673471E-2</v>
      </c>
      <c r="D21" s="41">
        <f>IF(SUM(D14*($C$5/100))=0,"",SUM(D18/D19))</f>
        <v>2.7179487179487177E-2</v>
      </c>
      <c r="E21" s="41">
        <f>IF(SUM(E14*($C$5/100))=0,"",SUM(E18/E19))</f>
        <v>2.4587628865979382E-2</v>
      </c>
      <c r="F21" s="41">
        <f>IF(SUM(F14*($C$5/100))=0,"",SUM(F18/F19))</f>
        <v>2.1839378238341967E-2</v>
      </c>
      <c r="G21" s="41">
        <f t="shared" ref="G21:V21" si="4">IF(SUM(G14*($C$5/100))=0,"",SUM(G18/G19))</f>
        <v>1.9192708333333332E-2</v>
      </c>
      <c r="H21" s="41">
        <f t="shared" si="4"/>
        <v>1.714659685863874E-2</v>
      </c>
      <c r="I21" s="41">
        <f t="shared" si="4"/>
        <v>1.4710526315789473E-2</v>
      </c>
      <c r="J21" s="41">
        <f t="shared" si="4"/>
        <v>1.2883597883597882E-2</v>
      </c>
      <c r="K21" s="41">
        <f t="shared" si="4"/>
        <v>1.079787234042553E-2</v>
      </c>
      <c r="L21" s="41">
        <f t="shared" si="4"/>
        <v>9.0106951871657768E-3</v>
      </c>
      <c r="M21" s="41">
        <f t="shared" si="4"/>
        <v>8.5483870967741939E-3</v>
      </c>
      <c r="N21" s="41">
        <f t="shared" si="4"/>
        <v>7.9729729729729731E-3</v>
      </c>
      <c r="O21" s="41">
        <f t="shared" si="4"/>
        <v>7.6630434782608697E-3</v>
      </c>
      <c r="P21" s="41">
        <f t="shared" si="4"/>
        <v>7.3497267759562845E-3</v>
      </c>
      <c r="Q21" s="41">
        <f t="shared" si="4"/>
        <v>7.0604395604395602E-3</v>
      </c>
      <c r="R21" s="41" t="str">
        <f t="shared" si="4"/>
        <v/>
      </c>
      <c r="S21" s="41" t="str">
        <f t="shared" si="4"/>
        <v/>
      </c>
      <c r="T21" s="41" t="str">
        <f t="shared" si="4"/>
        <v/>
      </c>
      <c r="U21" s="41" t="str">
        <f t="shared" si="4"/>
        <v/>
      </c>
      <c r="V21" s="41" t="str">
        <f t="shared" si="4"/>
        <v/>
      </c>
    </row>
    <row r="22" spans="1:28" ht="7.5" customHeight="1" x14ac:dyDescent="0.6">
      <c r="A22" s="1"/>
      <c r="B22" s="61"/>
      <c r="C22" s="40"/>
      <c r="D22" s="40"/>
      <c r="E22" s="40"/>
      <c r="F22" s="40"/>
      <c r="G22" s="40"/>
      <c r="H22" s="40"/>
      <c r="I22" s="40"/>
      <c r="J22" s="40"/>
      <c r="K22" s="40"/>
      <c r="L22" s="40"/>
      <c r="M22" s="40"/>
      <c r="N22" s="40"/>
      <c r="O22" s="40"/>
      <c r="P22" s="40"/>
      <c r="Q22" s="40"/>
      <c r="R22" s="40"/>
      <c r="S22" s="40"/>
      <c r="T22" s="40"/>
      <c r="U22" s="40"/>
      <c r="V22" s="40"/>
    </row>
    <row r="23" spans="1:28" ht="17.7" x14ac:dyDescent="0.6">
      <c r="A23" s="1" t="str">
        <f>"Total Premium ("&amp;C6&amp;" calves)"</f>
        <v>Total Premium (100 calves)</v>
      </c>
      <c r="B23" s="61"/>
      <c r="C23" s="89">
        <f>IF(SUM(C14*($C$5/100))=0,"",IF(' LPI Calculator'!C25&lt;$I$6,' LPI Calculator'!C25,'WLPIP 2 (HIDE)'!$I$6))</f>
        <v>1500</v>
      </c>
      <c r="D23" s="89">
        <f>IF(SUM(D14*($C$5/100))=0,"",IF(' LPI Calculator'!D25&lt;$I$6,' LPI Calculator'!D25,'WLPIP 2 (HIDE)'!$I$6))</f>
        <v>1500</v>
      </c>
      <c r="E23" s="89">
        <f>IF(SUM(E14*($C$5/100))=0,"",IF(' LPI Calculator'!E25&lt;$I$6,' LPI Calculator'!E25,'WLPIP 2 (HIDE)'!$I$6))</f>
        <v>1500</v>
      </c>
      <c r="F23" s="89">
        <f>IF(SUM(F14*($C$5/100))=0,"",IF(' LPI Calculator'!F25&lt;$I$6,' LPI Calculator'!F25,'WLPIP 2 (HIDE)'!$I$6))</f>
        <v>1500</v>
      </c>
      <c r="G23" s="89">
        <f>IF(SUM(G14*($C$5/100))=0,"",IF(' LPI Calculator'!G25&lt;$I$6,' LPI Calculator'!G25,'WLPIP 2 (HIDE)'!$I$6))</f>
        <v>1500</v>
      </c>
      <c r="H23" s="89">
        <f>IF(SUM(H14*($C$5/100))=0,"",IF(' LPI Calculator'!H25&lt;$I$6,' LPI Calculator'!H25,'WLPIP 2 (HIDE)'!$I$6))</f>
        <v>1500</v>
      </c>
      <c r="I23" s="89">
        <f>IF(SUM(I14*($C$5/100))=0,"",IF(' LPI Calculator'!I25&lt;$I$6,' LPI Calculator'!I25,'WLPIP 2 (HIDE)'!$I$6))</f>
        <v>1500</v>
      </c>
      <c r="J23" s="89">
        <f>IF(SUM(J14*($C$5/100))=0,"",IF(' LPI Calculator'!J25&lt;$I$6,' LPI Calculator'!J25,'WLPIP 2 (HIDE)'!$I$6))</f>
        <v>1500</v>
      </c>
      <c r="K23" s="89">
        <f>IF(SUM(K14*($C$5/100))=0,"",IF(' LPI Calculator'!K25&lt;$I$6,' LPI Calculator'!K25,'WLPIP 2 (HIDE)'!$I$6))</f>
        <v>1500</v>
      </c>
      <c r="L23" s="89">
        <f>IF(SUM(L14*($C$5/100))=0,"",IF(' LPI Calculator'!L25&lt;$I$6,' LPI Calculator'!L25,'WLPIP 2 (HIDE)'!$I$6))</f>
        <v>1500</v>
      </c>
      <c r="M23" s="89">
        <f>IF(SUM(M14*($C$5/100))=0,"",IF(' LPI Calculator'!M25&lt;$I$6,' LPI Calculator'!M25,'WLPIP 2 (HIDE)'!$I$6))</f>
        <v>1500</v>
      </c>
      <c r="N23" s="89">
        <f>IF(SUM(N14*($C$5/100))=0,"",IF(' LPI Calculator'!N25&lt;$I$6,' LPI Calculator'!N25,'WLPIP 2 (HIDE)'!$I$6))</f>
        <v>1500</v>
      </c>
      <c r="O23" s="89">
        <f>IF(SUM(O14*($C$5/100))=0,"",IF(' LPI Calculator'!O25&lt;$I$6,' LPI Calculator'!O25,'WLPIP 2 (HIDE)'!$I$6))</f>
        <v>1500</v>
      </c>
      <c r="P23" s="89">
        <f>IF(SUM(P14*($C$5/100))=0,"",IF(' LPI Calculator'!P25&lt;$I$6,' LPI Calculator'!P25,'WLPIP 2 (HIDE)'!$I$6))</f>
        <v>1500</v>
      </c>
      <c r="Q23" s="89">
        <f>IF(SUM(Q14*($C$5/100))=0,"",IF(' LPI Calculator'!Q25&lt;$I$6,' LPI Calculator'!Q25,'WLPIP 2 (HIDE)'!$I$6))</f>
        <v>1477.75</v>
      </c>
      <c r="R23" s="89" t="str">
        <f>IF(SUM(R14*($C$5/100))=0,"",IF(' LPI Calculator'!R25&lt;$I$6,' LPI Calculator'!R25,'WLPIP 2 (HIDE)'!$I$6))</f>
        <v/>
      </c>
      <c r="S23" s="89" t="str">
        <f>IF(SUM(S14*($C$5/100))=0,"",IF(' LPI Calculator'!S25&lt;$I$6,' LPI Calculator'!S25,'WLPIP 2 (HIDE)'!$I$6))</f>
        <v/>
      </c>
      <c r="T23" s="89" t="str">
        <f>IF(SUM(T14*($C$5/100))=0,"",IF(' LPI Calculator'!T25&lt;$I$6,' LPI Calculator'!T25,'WLPIP 2 (HIDE)'!$I$6))</f>
        <v/>
      </c>
      <c r="U23" s="89" t="str">
        <f>IF(SUM(U14*($C$5/100))=0,"",IF(' LPI Calculator'!U25&lt;$I$6,' LPI Calculator'!U25,'WLPIP 2 (HIDE)'!$I$6))</f>
        <v/>
      </c>
      <c r="V23" s="89" t="str">
        <f>IF(SUM(V14*($C$5/100))=0,"",IF(' LPI Calculator'!V25&lt;$I$6,' LPI Calculator'!V25,'WLPIP 2 (HIDE)'!$I$6))</f>
        <v/>
      </c>
      <c r="W23" s="2" t="s">
        <v>99</v>
      </c>
      <c r="Y23" s="133" t="s">
        <v>98</v>
      </c>
      <c r="Z23" s="133"/>
      <c r="AA23" s="133"/>
      <c r="AB23" s="133"/>
    </row>
    <row r="24" spans="1:28" x14ac:dyDescent="0.55000000000000004">
      <c r="A24" s="1" t="str">
        <f>"Total Insured ("&amp;C6&amp;" calves)"</f>
        <v>Total Insured (100 calves)</v>
      </c>
      <c r="B24" s="1"/>
      <c r="C24" s="42">
        <f>IF(SUM(C14*($C$5/100))=0,"",SUM(C19*$C$6))</f>
        <v>50170.648464163824</v>
      </c>
      <c r="D24" s="42">
        <f>IF(SUM(D14*($C$5/100))=0,"",SUM(D19*$C$6))</f>
        <v>55188.679245283027</v>
      </c>
      <c r="E24" s="42">
        <f>IF(SUM(E14*($C$5/100))=0,"",SUM(E19*$C$6))</f>
        <v>61006.289308176099</v>
      </c>
      <c r="F24" s="42">
        <f>IF(SUM(F14*($C$5/100))=0,"",SUM(F19*$C$6))</f>
        <v>68683.274021352321</v>
      </c>
      <c r="G24" s="42">
        <f t="shared" ref="G24:V24" si="5">IF(SUM(G14*($C$5/100))=0,"",SUM(G19*$C$6))</f>
        <v>78154.681139755776</v>
      </c>
      <c r="H24" s="42">
        <f t="shared" si="5"/>
        <v>87480.916030534368</v>
      </c>
      <c r="I24" s="42">
        <f t="shared" si="5"/>
        <v>101967.79964221826</v>
      </c>
      <c r="J24" s="42">
        <f t="shared" si="5"/>
        <v>116427.10472279262</v>
      </c>
      <c r="K24" s="42">
        <f t="shared" si="5"/>
        <v>138916.25615763548</v>
      </c>
      <c r="L24" s="42">
        <f t="shared" si="5"/>
        <v>166468.84272997032</v>
      </c>
      <c r="M24" s="42">
        <f t="shared" si="5"/>
        <v>175471.69811320753</v>
      </c>
      <c r="N24" s="42">
        <f t="shared" si="5"/>
        <v>188135.59322033898</v>
      </c>
      <c r="O24" s="42">
        <f t="shared" si="5"/>
        <v>195744.68085106381</v>
      </c>
      <c r="P24" s="42">
        <f t="shared" si="5"/>
        <v>204089.219330855</v>
      </c>
      <c r="Q24" s="42">
        <f t="shared" si="5"/>
        <v>209300</v>
      </c>
      <c r="R24" s="42" t="str">
        <f t="shared" si="5"/>
        <v/>
      </c>
      <c r="S24" s="42" t="str">
        <f t="shared" si="5"/>
        <v/>
      </c>
      <c r="T24" s="42" t="str">
        <f t="shared" si="5"/>
        <v/>
      </c>
      <c r="U24" s="42" t="str">
        <f t="shared" si="5"/>
        <v/>
      </c>
      <c r="V24" s="42" t="str">
        <f t="shared" si="5"/>
        <v/>
      </c>
      <c r="Y24" s="133"/>
      <c r="Z24" s="133"/>
      <c r="AA24" s="133"/>
      <c r="AB24" s="133"/>
    </row>
    <row r="25" spans="1:28" ht="7.5" customHeight="1" x14ac:dyDescent="0.55000000000000004">
      <c r="C25" s="6"/>
      <c r="D25" s="6"/>
      <c r="E25" s="6"/>
      <c r="F25" s="6"/>
      <c r="G25" s="6"/>
      <c r="H25" s="6"/>
      <c r="I25" s="6"/>
      <c r="J25" s="6"/>
      <c r="Y25" s="133"/>
      <c r="Z25" s="133"/>
      <c r="AA25" s="133"/>
      <c r="AB25" s="133"/>
    </row>
    <row r="26" spans="1:28" x14ac:dyDescent="0.55000000000000004">
      <c r="A26" s="1" t="str">
        <f>"WLPIP Payment at Estimated Settlement Price = $"&amp;I5&amp;"/cwt"</f>
        <v>WLPIP Payment at Estimated Settlement Price = $325/cwt</v>
      </c>
      <c r="C26" s="40"/>
      <c r="D26" s="40"/>
      <c r="E26" s="40"/>
      <c r="F26" s="40"/>
      <c r="G26" s="40"/>
      <c r="H26" s="40"/>
      <c r="I26" s="40"/>
      <c r="J26" s="40"/>
      <c r="K26" s="40"/>
      <c r="L26" s="40"/>
      <c r="M26" s="40"/>
      <c r="N26" s="40"/>
      <c r="O26" s="40"/>
      <c r="P26" s="40"/>
      <c r="Q26" s="40"/>
      <c r="R26" s="40"/>
      <c r="S26" s="40"/>
      <c r="T26" s="40"/>
      <c r="U26" s="40"/>
      <c r="V26" s="40"/>
      <c r="Y26" s="133"/>
      <c r="Z26" s="133"/>
      <c r="AA26" s="133"/>
      <c r="AB26" s="133"/>
    </row>
    <row r="27" spans="1:28" x14ac:dyDescent="0.55000000000000004">
      <c r="B27" s="3" t="s">
        <v>71</v>
      </c>
      <c r="C27" s="42">
        <f>IF(SUM(C14*($C$5/100))=0,"",IF(ROUND(C13-$I$5,1)&lt;1,"-",SUM(C13-$I$5)*(C18/C14)))</f>
        <v>85.750853242320815</v>
      </c>
      <c r="D27" s="42">
        <f>IF(SUM(D14*($C$5/100))=0,"",IF(ROUND(D13-$I$5,1)&lt;1,"-",SUM(D13-$I$5)*(D18/D14)))</f>
        <v>91.981132075471706</v>
      </c>
      <c r="E27" s="42">
        <f>IF(SUM(E14*($C$5/100))=0,"",IF(ROUND(E13-$I$5,1)&lt;1,"-",SUM(E13-$I$5)*(E18/E14)))</f>
        <v>99.056603773584911</v>
      </c>
      <c r="F27" s="42">
        <f>IF(SUM(F14*($C$5/100))=0,"",IF(ROUND(F13-$I$5,1)&lt;1,"-",SUM(F13-$I$5)*(F18/F14)))</f>
        <v>108.54092526690391</v>
      </c>
      <c r="G27" s="42">
        <f t="shared" ref="G27:V27" si="6">IF(SUM(G14*($C$5/100))=0,"",IF(ROUND(G13-$I$5,1)&lt;1,"-",SUM(G13-$I$5)*(G18/G14)))</f>
        <v>120.08141112618725</v>
      </c>
      <c r="H27" s="42">
        <f t="shared" si="6"/>
        <v>130.53435114503819</v>
      </c>
      <c r="I27" s="42">
        <f t="shared" si="6"/>
        <v>147.58497316636854</v>
      </c>
      <c r="J27" s="42">
        <f t="shared" si="6"/>
        <v>163.24435318275155</v>
      </c>
      <c r="K27" s="42">
        <f t="shared" si="6"/>
        <v>188.42364532019704</v>
      </c>
      <c r="L27" s="42">
        <f t="shared" si="6"/>
        <v>218.10089020771511</v>
      </c>
      <c r="M27" s="42">
        <f t="shared" si="6"/>
        <v>221.69811320754715</v>
      </c>
      <c r="N27" s="42">
        <f t="shared" si="6"/>
        <v>228.81355932203388</v>
      </c>
      <c r="O27" s="42">
        <f t="shared" si="6"/>
        <v>228.72340425531914</v>
      </c>
      <c r="P27" s="42">
        <f t="shared" si="6"/>
        <v>228.62453531598513</v>
      </c>
      <c r="Q27" s="42">
        <f t="shared" si="6"/>
        <v>224.25</v>
      </c>
      <c r="R27" s="42" t="str">
        <f t="shared" si="6"/>
        <v/>
      </c>
      <c r="S27" s="42" t="str">
        <f t="shared" si="6"/>
        <v/>
      </c>
      <c r="T27" s="42" t="str">
        <f t="shared" si="6"/>
        <v/>
      </c>
      <c r="U27" s="42" t="str">
        <f t="shared" si="6"/>
        <v/>
      </c>
      <c r="V27" s="42" t="str">
        <f t="shared" si="6"/>
        <v/>
      </c>
      <c r="Y27" s="133"/>
      <c r="Z27" s="133"/>
      <c r="AA27" s="133"/>
      <c r="AB27" s="133"/>
    </row>
    <row r="28" spans="1:28" x14ac:dyDescent="0.55000000000000004">
      <c r="B28" s="1" t="str">
        <f>"Total WLPIP ($ per "&amp;C6&amp;" calves)"</f>
        <v>Total WLPIP ($ per 100 calves)</v>
      </c>
      <c r="C28" s="42">
        <f>IF(SUM(C14*($C$5/100))=0,"",IF(C27="-","-",SUM(C27*$C$6)))</f>
        <v>8575.0853242320809</v>
      </c>
      <c r="D28" s="42">
        <f>IF(SUM(D14*($C$5/100))=0,"",IF(D27="-","-",SUM(D27*$C$6)))</f>
        <v>9198.1132075471705</v>
      </c>
      <c r="E28" s="42">
        <f>IF(SUM(E14*($C$5/100))=0,"",IF(E27="-","-",SUM(E27*$C$6)))</f>
        <v>9905.6603773584902</v>
      </c>
      <c r="F28" s="42">
        <f t="shared" ref="F28:V28" si="7">IF(SUM(F14*($C$5/100))=0,"",IF(F27="-","-",SUM(F27*$C$6)))</f>
        <v>10854.092526690391</v>
      </c>
      <c r="G28" s="42">
        <f t="shared" si="7"/>
        <v>12008.141112618725</v>
      </c>
      <c r="H28" s="42">
        <f t="shared" si="7"/>
        <v>13053.435114503818</v>
      </c>
      <c r="I28" s="42">
        <f t="shared" si="7"/>
        <v>14758.497316636855</v>
      </c>
      <c r="J28" s="42">
        <f t="shared" si="7"/>
        <v>16324.435318275155</v>
      </c>
      <c r="K28" s="42">
        <f t="shared" si="7"/>
        <v>18842.364532019703</v>
      </c>
      <c r="L28" s="42">
        <f t="shared" si="7"/>
        <v>21810.089020771513</v>
      </c>
      <c r="M28" s="42">
        <f t="shared" si="7"/>
        <v>22169.811320754714</v>
      </c>
      <c r="N28" s="42">
        <f t="shared" si="7"/>
        <v>22881.355932203387</v>
      </c>
      <c r="O28" s="42">
        <f t="shared" si="7"/>
        <v>22872.340425531915</v>
      </c>
      <c r="P28" s="42">
        <f t="shared" si="7"/>
        <v>22862.453531598512</v>
      </c>
      <c r="Q28" s="42">
        <f t="shared" si="7"/>
        <v>22425</v>
      </c>
      <c r="R28" s="42" t="str">
        <f t="shared" si="7"/>
        <v/>
      </c>
      <c r="S28" s="42" t="str">
        <f t="shared" si="7"/>
        <v/>
      </c>
      <c r="T28" s="42" t="str">
        <f t="shared" si="7"/>
        <v/>
      </c>
      <c r="U28" s="42" t="str">
        <f t="shared" si="7"/>
        <v/>
      </c>
      <c r="V28" s="42" t="str">
        <f t="shared" si="7"/>
        <v/>
      </c>
      <c r="Y28" s="133"/>
      <c r="Z28" s="133"/>
      <c r="AA28" s="133"/>
      <c r="AB28" s="133"/>
    </row>
    <row r="29" spans="1:28" ht="7.5" customHeight="1" x14ac:dyDescent="0.55000000000000004">
      <c r="C29" s="6"/>
      <c r="D29" s="6"/>
      <c r="E29" s="6"/>
      <c r="F29" s="6"/>
      <c r="G29" s="6"/>
      <c r="H29" s="6"/>
      <c r="I29" s="6"/>
      <c r="J29" s="6"/>
      <c r="Y29" s="133"/>
      <c r="Z29" s="133"/>
      <c r="AA29" s="133"/>
      <c r="AB29" s="133"/>
    </row>
    <row r="30" spans="1:28" x14ac:dyDescent="0.55000000000000004">
      <c r="A30" s="1" t="s">
        <v>85</v>
      </c>
      <c r="C30" s="6"/>
      <c r="D30" s="6"/>
      <c r="E30" s="6"/>
      <c r="F30" s="6"/>
      <c r="G30" s="6"/>
      <c r="H30" s="6"/>
      <c r="I30" s="6"/>
      <c r="J30" s="6"/>
      <c r="Y30" s="133"/>
      <c r="Z30" s="133"/>
      <c r="AA30" s="133"/>
      <c r="AB30" s="133"/>
    </row>
    <row r="31" spans="1:28" x14ac:dyDescent="0.55000000000000004">
      <c r="B31" s="3" t="s">
        <v>48</v>
      </c>
      <c r="C31" s="51">
        <f>IF(SUM(C14*($C$5/100))=0,"",IF(C18+'Cost of Production'!$C$33-'WLPIP 2 (HIDE)'!C19&lt;0,"-",SUM(C18+'Cost of Production'!$C$33-'WLPIP 2 (HIDE)'!C19)))</f>
        <v>703.40221535836201</v>
      </c>
      <c r="D31" s="51">
        <f>IF(SUM(D14*($C$5/100))=0,"",IF(D18+'Cost of Production'!$C$33-'WLPIP 2 (HIDE)'!D19&lt;0,"-",SUM(D18+'Cost of Production'!$C$33-'WLPIP 2 (HIDE)'!D19)))</f>
        <v>653.22190754716996</v>
      </c>
      <c r="E31" s="51">
        <f>IF(SUM(E14*($C$5/100))=0,"",IF(E18+'Cost of Production'!$C$33-'WLPIP 2 (HIDE)'!E19&lt;0,"-",SUM(E18+'Cost of Production'!$C$33-'WLPIP 2 (HIDE)'!E19)))</f>
        <v>595.04580691823924</v>
      </c>
      <c r="F31" s="51">
        <f>IF(SUM(F14*($C$5/100))=0,"",IF(F18+'Cost of Production'!$C$33-'WLPIP 2 (HIDE)'!F19&lt;0,"-",SUM(F18+'Cost of Production'!$C$33-'WLPIP 2 (HIDE)'!F19)))</f>
        <v>518.27595978647707</v>
      </c>
      <c r="G31" s="51">
        <f>IF(SUM(G14*($C$5/100))=0,"",IF(G18+'Cost of Production'!$C$33-'WLPIP 2 (HIDE)'!G19&lt;0,"-",SUM(G18+'Cost of Production'!$C$33-'WLPIP 2 (HIDE)'!G19)))</f>
        <v>423.56188860244254</v>
      </c>
      <c r="H31" s="51">
        <f>IF(SUM(H14*($C$5/100))=0,"",IF(H18+'Cost of Production'!$C$33-'WLPIP 2 (HIDE)'!H19&lt;0,"-",SUM(H18+'Cost of Production'!$C$33-'WLPIP 2 (HIDE)'!H19)))</f>
        <v>330.29953969465657</v>
      </c>
      <c r="I31" s="51">
        <f>IF(SUM(I14*($C$5/100))=0,"",IF(I18+'Cost of Production'!$C$33-'WLPIP 2 (HIDE)'!I19&lt;0,"-",SUM(I18+'Cost of Production'!$C$33-'WLPIP 2 (HIDE)'!I19)))</f>
        <v>185.43070357781767</v>
      </c>
      <c r="J31" s="51">
        <f>IF(SUM(J14*($C$5/100))=0,"",IF(J18+'Cost of Production'!$C$33-'WLPIP 2 (HIDE)'!J19&lt;0,"-",SUM(J18+'Cost of Production'!$C$33-'WLPIP 2 (HIDE)'!J19)))</f>
        <v>40.83765277207408</v>
      </c>
      <c r="K31" s="51" t="str">
        <f>IF(SUM(K14*($C$5/100))=0,"",IF(K18+'Cost of Production'!$C$33-'WLPIP 2 (HIDE)'!K19&lt;0,"-",SUM(K18+'Cost of Production'!$C$33-'WLPIP 2 (HIDE)'!K19)))</f>
        <v>-</v>
      </c>
      <c r="L31" s="51" t="str">
        <f>IF(SUM(L14*($C$5/100))=0,"",IF(L18+'Cost of Production'!$C$33-'WLPIP 2 (HIDE)'!L19&lt;0,"-",SUM(L18+'Cost of Production'!$C$33-'WLPIP 2 (HIDE)'!L19)))</f>
        <v>-</v>
      </c>
      <c r="M31" s="51" t="str">
        <f>IF(SUM(M14*($C$5/100))=0,"",IF(M18+'Cost of Production'!$C$33-'WLPIP 2 (HIDE)'!M19&lt;0,"-",SUM(M18+'Cost of Production'!$C$33-'WLPIP 2 (HIDE)'!M19)))</f>
        <v>-</v>
      </c>
      <c r="N31" s="51" t="str">
        <f>IF(SUM(N14*($C$5/100))=0,"",IF(N18+'Cost of Production'!$C$33-'WLPIP 2 (HIDE)'!N19&lt;0,"-",SUM(N18+'Cost of Production'!$C$33-'WLPIP 2 (HIDE)'!N19)))</f>
        <v>-</v>
      </c>
      <c r="O31" s="51" t="str">
        <f>IF(SUM(O14*($C$5/100))=0,"",IF(O18+'Cost of Production'!$C$33-'WLPIP 2 (HIDE)'!O19&lt;0,"-",SUM(O18+'Cost of Production'!$C$33-'WLPIP 2 (HIDE)'!O19)))</f>
        <v>-</v>
      </c>
      <c r="P31" s="51" t="str">
        <f>IF(SUM(P14*($C$5/100))=0,"",IF(P18+'Cost of Production'!$C$33-'WLPIP 2 (HIDE)'!P19&lt;0,"-",SUM(P18+'Cost of Production'!$C$33-'WLPIP 2 (HIDE)'!P19)))</f>
        <v>-</v>
      </c>
      <c r="Q31" s="51" t="str">
        <f>IF(SUM(Q14*($C$5/100))=0,"",IF(Q18+'Cost of Production'!$C$33-'WLPIP 2 (HIDE)'!Q19&lt;0,"-",SUM(Q18+'Cost of Production'!$C$33-'WLPIP 2 (HIDE)'!Q19)))</f>
        <v>-</v>
      </c>
      <c r="R31" s="51" t="str">
        <f>IF(SUM(R14*($C$5/100))=0,"",IF(R18+'Cost of Production'!$C$33-'WLPIP 2 (HIDE)'!R19&lt;0,"-",SUM(R18+'Cost of Production'!$C$33-'WLPIP 2 (HIDE)'!R19)))</f>
        <v/>
      </c>
      <c r="S31" s="51" t="str">
        <f>IF(SUM(S14*($C$5/100))=0,"",IF(S18+'Cost of Production'!$C$33-'WLPIP 2 (HIDE)'!S19&lt;0,"-",SUM(S18+'Cost of Production'!$C$33-'WLPIP 2 (HIDE)'!S19)))</f>
        <v/>
      </c>
      <c r="T31" s="51" t="str">
        <f>IF(SUM(T14*($C$5/100))=0,"",IF(T18+'Cost of Production'!$C$33-'WLPIP 2 (HIDE)'!T19&lt;0,"-",SUM(T18+'Cost of Production'!$C$33-'WLPIP 2 (HIDE)'!T19)))</f>
        <v/>
      </c>
      <c r="U31" s="51" t="str">
        <f>IF(SUM(U14*($C$5/100))=0,"",IF(U18+'Cost of Production'!$C$33-'WLPIP 2 (HIDE)'!U19&lt;0,"-",SUM(U18+'Cost of Production'!$C$33-'WLPIP 2 (HIDE)'!U19)))</f>
        <v/>
      </c>
      <c r="V31" s="51" t="str">
        <f>IF(SUM(V14*($C$5/100))=0,"",IF(V18+'Cost of Production'!$C$33-'WLPIP 2 (HIDE)'!V19&lt;0,"-",SUM(V18+'Cost of Production'!$C$33-'WLPIP 2 (HIDE)'!V19)))</f>
        <v/>
      </c>
    </row>
    <row r="32" spans="1:28" x14ac:dyDescent="0.55000000000000004">
      <c r="B32" s="3" t="s">
        <v>58</v>
      </c>
      <c r="C32" s="51">
        <f>IF(SUM(C14*($C$5/100))=0,"",IF(C18+'Cost of Production'!$C$33+'Cost of Production'!$C$44-'WLPIP 2 (HIDE)'!C19&lt;0,"-",SUM(C18+'Cost of Production'!$C$33+'Cost of Production'!$C$44-'WLPIP 2 (HIDE)'!C19)))</f>
        <v>865.40221535836201</v>
      </c>
      <c r="D32" s="51">
        <f>IF(SUM(D14*($C$5/100))=0,"",IF(D18+'Cost of Production'!$C$33+'Cost of Production'!$C$44-'WLPIP 2 (HIDE)'!D19&lt;0,"-",SUM(D18+'Cost of Production'!$C$33+'Cost of Production'!$C$44-'WLPIP 2 (HIDE)'!D19)))</f>
        <v>815.22190754716996</v>
      </c>
      <c r="E32" s="51">
        <f>IF(SUM(E14*($C$5/100))=0,"",IF(E18+'Cost of Production'!$C$33+'Cost of Production'!$C$44-'WLPIP 2 (HIDE)'!E19&lt;0,"-",SUM(E18+'Cost of Production'!$C$33+'Cost of Production'!$C$44-'WLPIP 2 (HIDE)'!E19)))</f>
        <v>757.04580691823924</v>
      </c>
      <c r="F32" s="51">
        <f>IF(SUM(F14*($C$5/100))=0,"",IF(F18+'Cost of Production'!$C$33+'Cost of Production'!$C$44-'WLPIP 2 (HIDE)'!F19&lt;0,"-",SUM(F18+'Cost of Production'!$C$33+'Cost of Production'!$C$44-'WLPIP 2 (HIDE)'!F19)))</f>
        <v>680.27595978647707</v>
      </c>
      <c r="G32" s="51">
        <f>IF(SUM(G14*($C$5/100))=0,"",IF(G18+'Cost of Production'!$C$33+'Cost of Production'!$C$44-'WLPIP 2 (HIDE)'!G19&lt;0,"-",SUM(G18+'Cost of Production'!$C$33+'Cost of Production'!$C$44-'WLPIP 2 (HIDE)'!G19)))</f>
        <v>585.56188860244254</v>
      </c>
      <c r="H32" s="51">
        <f>IF(SUM(H14*($C$5/100))=0,"",IF(H18+'Cost of Production'!$C$33+'Cost of Production'!$C$44-'WLPIP 2 (HIDE)'!H19&lt;0,"-",SUM(H18+'Cost of Production'!$C$33+'Cost of Production'!$C$44-'WLPIP 2 (HIDE)'!H19)))</f>
        <v>492.29953969465657</v>
      </c>
      <c r="I32" s="51">
        <f>IF(SUM(I14*($C$5/100))=0,"",IF(I18+'Cost of Production'!$C$33+'Cost of Production'!$C$44-'WLPIP 2 (HIDE)'!I19&lt;0,"-",SUM(I18+'Cost of Production'!$C$33+'Cost of Production'!$C$44-'WLPIP 2 (HIDE)'!I19)))</f>
        <v>347.43070357781767</v>
      </c>
      <c r="J32" s="51">
        <f>IF(SUM(J14*($C$5/100))=0,"",IF(J18+'Cost of Production'!$C$33+'Cost of Production'!$C$44-'WLPIP 2 (HIDE)'!J19&lt;0,"-",SUM(J18+'Cost of Production'!$C$33+'Cost of Production'!$C$44-'WLPIP 2 (HIDE)'!J19)))</f>
        <v>202.83765277207408</v>
      </c>
      <c r="K32" s="51" t="str">
        <f>IF(SUM(K14*($C$5/100))=0,"",IF(K18+'Cost of Production'!$C$33+'Cost of Production'!$C$44-'WLPIP 2 (HIDE)'!K19&lt;0,"-",SUM(K18+'Cost of Production'!$C$33+'Cost of Production'!$C$44-'WLPIP 2 (HIDE)'!K19)))</f>
        <v>-</v>
      </c>
      <c r="L32" s="51" t="str">
        <f>IF(SUM(L14*($C$5/100))=0,"",IF(L18+'Cost of Production'!$C$33+'Cost of Production'!$C$44-'WLPIP 2 (HIDE)'!L19&lt;0,"-",SUM(L18+'Cost of Production'!$C$33+'Cost of Production'!$C$44-'WLPIP 2 (HIDE)'!L19)))</f>
        <v>-</v>
      </c>
      <c r="M32" s="51" t="str">
        <f>IF(SUM(M14*($C$5/100))=0,"",IF(M18+'Cost of Production'!$C$33+'Cost of Production'!$C$44-'WLPIP 2 (HIDE)'!M19&lt;0,"-",SUM(M18+'Cost of Production'!$C$33+'Cost of Production'!$C$44-'WLPIP 2 (HIDE)'!M19)))</f>
        <v>-</v>
      </c>
      <c r="N32" s="51" t="str">
        <f>IF(SUM(N14*($C$5/100))=0,"",IF(N18+'Cost of Production'!$C$33+'Cost of Production'!$C$44-'WLPIP 2 (HIDE)'!N19&lt;0,"-",SUM(N18+'Cost of Production'!$C$33+'Cost of Production'!$C$44-'WLPIP 2 (HIDE)'!N19)))</f>
        <v>-</v>
      </c>
      <c r="O32" s="51" t="str">
        <f>IF(SUM(O14*($C$5/100))=0,"",IF(O18+'Cost of Production'!$C$33+'Cost of Production'!$C$44-'WLPIP 2 (HIDE)'!O19&lt;0,"-",SUM(O18+'Cost of Production'!$C$33+'Cost of Production'!$C$44-'WLPIP 2 (HIDE)'!O19)))</f>
        <v>-</v>
      </c>
      <c r="P32" s="51" t="str">
        <f>IF(SUM(P14*($C$5/100))=0,"",IF(P18+'Cost of Production'!$C$33+'Cost of Production'!$C$44-'WLPIP 2 (HIDE)'!P19&lt;0,"-",SUM(P18+'Cost of Production'!$C$33+'Cost of Production'!$C$44-'WLPIP 2 (HIDE)'!P19)))</f>
        <v>-</v>
      </c>
      <c r="Q32" s="51" t="str">
        <f>IF(SUM(Q14*($C$5/100))=0,"",IF(Q18+'Cost of Production'!$C$33+'Cost of Production'!$C$44-'WLPIP 2 (HIDE)'!Q19&lt;0,"-",SUM(Q18+'Cost of Production'!$C$33+'Cost of Production'!$C$44-'WLPIP 2 (HIDE)'!Q19)))</f>
        <v>-</v>
      </c>
      <c r="R32" s="51" t="str">
        <f>IF(SUM(R14*($C$5/100))=0,"",IF(R18+'Cost of Production'!$C$33+'Cost of Production'!$C$44-'WLPIP 2 (HIDE)'!R19&lt;0,"-",SUM(R18+'Cost of Production'!$C$33+'Cost of Production'!$C$44-'WLPIP 2 (HIDE)'!R19)))</f>
        <v/>
      </c>
      <c r="S32" s="51" t="str">
        <f>IF(SUM(S14*($C$5/100))=0,"",IF(S18+'Cost of Production'!$C$33+'Cost of Production'!$C$44-'WLPIP 2 (HIDE)'!S19&lt;0,"-",SUM(S18+'Cost of Production'!$C$33+'Cost of Production'!$C$44-'WLPIP 2 (HIDE)'!S19)))</f>
        <v/>
      </c>
      <c r="T32" s="51" t="str">
        <f>IF(SUM(T14*($C$5/100))=0,"",IF(T18+'Cost of Production'!$C$33+'Cost of Production'!$C$44-'WLPIP 2 (HIDE)'!T19&lt;0,"-",SUM(T18+'Cost of Production'!$C$33+'Cost of Production'!$C$44-'WLPIP 2 (HIDE)'!T19)))</f>
        <v/>
      </c>
      <c r="U32" s="51" t="str">
        <f>IF(SUM(U14*($C$5/100))=0,"",IF(U18+'Cost of Production'!$C$33+'Cost of Production'!$C$44-'WLPIP 2 (HIDE)'!U19&lt;0,"-",SUM(U18+'Cost of Production'!$C$33+'Cost of Production'!$C$44-'WLPIP 2 (HIDE)'!U19)))</f>
        <v/>
      </c>
      <c r="V32" s="51" t="str">
        <f>IF(SUM(V14*($C$5/100))=0,"",IF(V18+'Cost of Production'!$C$33+'Cost of Production'!$C$44-'WLPIP 2 (HIDE)'!V19&lt;0,"-",SUM(V18+'Cost of Production'!$C$33+'Cost of Production'!$C$44-'WLPIP 2 (HIDE)'!V19)))</f>
        <v/>
      </c>
    </row>
    <row r="33" spans="1:54" x14ac:dyDescent="0.55000000000000004">
      <c r="B33" s="3" t="s">
        <v>49</v>
      </c>
      <c r="C33" s="51">
        <f>IF(SUM(C14*($C$5/100))=0,"",IF(C18+'Cost of Production'!$C$42-'WLPIP 2 (HIDE)'!C19&lt;0,"-",SUM(C18+'Cost of Production'!$C$42-'WLPIP 2 (HIDE)'!C19)))</f>
        <v>954.14221535836202</v>
      </c>
      <c r="D33" s="51">
        <f>IF(SUM(D14*($C$5/100))=0,"",IF(D18+'Cost of Production'!$C$42-'WLPIP 2 (HIDE)'!D19&lt;0,"-",SUM(D18+'Cost of Production'!$C$42-'WLPIP 2 (HIDE)'!D19)))</f>
        <v>903.96190754716997</v>
      </c>
      <c r="E33" s="51">
        <f>IF(SUM(E14*($C$5/100))=0,"",IF(E18+'Cost of Production'!$C$42-'WLPIP 2 (HIDE)'!E19&lt;0,"-",SUM(E18+'Cost of Production'!$C$42-'WLPIP 2 (HIDE)'!E19)))</f>
        <v>845.78580691823925</v>
      </c>
      <c r="F33" s="51">
        <f>IF(SUM(F14*($C$5/100))=0,"",IF(F18+'Cost of Production'!$C$42-'WLPIP 2 (HIDE)'!F19&lt;0,"-",SUM(F18+'Cost of Production'!$C$42-'WLPIP 2 (HIDE)'!F19)))</f>
        <v>769.01595978647708</v>
      </c>
      <c r="G33" s="51">
        <f>IF(SUM(G14*($C$5/100))=0,"",IF(G18+'Cost of Production'!$C$42-'WLPIP 2 (HIDE)'!G19&lt;0,"-",SUM(G18+'Cost of Production'!$C$42-'WLPIP 2 (HIDE)'!G19)))</f>
        <v>674.30188860244255</v>
      </c>
      <c r="H33" s="51">
        <f>IF(SUM(H14*($C$5/100))=0,"",IF(H18+'Cost of Production'!$C$42-'WLPIP 2 (HIDE)'!H19&lt;0,"-",SUM(H18+'Cost of Production'!$C$42-'WLPIP 2 (HIDE)'!H19)))</f>
        <v>581.03953969465658</v>
      </c>
      <c r="I33" s="51">
        <f>IF(SUM(I14*($C$5/100))=0,"",IF(I18+'Cost of Production'!$C$42-'WLPIP 2 (HIDE)'!I19&lt;0,"-",SUM(I18+'Cost of Production'!$C$42-'WLPIP 2 (HIDE)'!I19)))</f>
        <v>436.17070357781768</v>
      </c>
      <c r="J33" s="51">
        <f>IF(SUM(J14*($C$5/100))=0,"",IF(J18+'Cost of Production'!$C$42-'WLPIP 2 (HIDE)'!J19&lt;0,"-",SUM(J18+'Cost of Production'!$C$42-'WLPIP 2 (HIDE)'!J19)))</f>
        <v>291.57765277207409</v>
      </c>
      <c r="K33" s="51">
        <f>IF(SUM(K14*($C$5/100))=0,"",IF(K18+'Cost of Production'!$C$42-'WLPIP 2 (HIDE)'!K19&lt;0,"-",SUM(K18+'Cost of Production'!$C$42-'WLPIP 2 (HIDE)'!K19)))</f>
        <v>66.686138423645389</v>
      </c>
      <c r="L33" s="51" t="str">
        <f>IF(SUM(L14*($C$5/100))=0,"",IF(L18+'Cost of Production'!$C$42-'WLPIP 2 (HIDE)'!L19&lt;0,"-",SUM(L18+'Cost of Production'!$C$42-'WLPIP 2 (HIDE)'!L19)))</f>
        <v>-</v>
      </c>
      <c r="M33" s="51" t="str">
        <f>IF(SUM(M14*($C$5/100))=0,"",IF(M18+'Cost of Production'!$C$42-'WLPIP 2 (HIDE)'!M19&lt;0,"-",SUM(M18+'Cost of Production'!$C$42-'WLPIP 2 (HIDE)'!M19)))</f>
        <v>-</v>
      </c>
      <c r="N33" s="51" t="str">
        <f>IF(SUM(N14*($C$5/100))=0,"",IF(N18+'Cost of Production'!$C$42-'WLPIP 2 (HIDE)'!N19&lt;0,"-",SUM(N18+'Cost of Production'!$C$42-'WLPIP 2 (HIDE)'!N19)))</f>
        <v>-</v>
      </c>
      <c r="O33" s="51" t="str">
        <f>IF(SUM(O14*($C$5/100))=0,"",IF(O18+'Cost of Production'!$C$42-'WLPIP 2 (HIDE)'!O19&lt;0,"-",SUM(O18+'Cost of Production'!$C$42-'WLPIP 2 (HIDE)'!O19)))</f>
        <v>-</v>
      </c>
      <c r="P33" s="51" t="str">
        <f>IF(SUM(P14*($C$5/100))=0,"",IF(P18+'Cost of Production'!$C$42-'WLPIP 2 (HIDE)'!P19&lt;0,"-",SUM(P18+'Cost of Production'!$C$42-'WLPIP 2 (HIDE)'!P19)))</f>
        <v>-</v>
      </c>
      <c r="Q33" s="51" t="str">
        <f>IF(SUM(Q14*($C$5/100))=0,"",IF(Q18+'Cost of Production'!$C$42-'WLPIP 2 (HIDE)'!Q19&lt;0,"-",SUM(Q18+'Cost of Production'!$C$42-'WLPIP 2 (HIDE)'!Q19)))</f>
        <v>-</v>
      </c>
      <c r="R33" s="51" t="str">
        <f>IF(SUM(R14*($C$5/100))=0,"",IF(R18+'Cost of Production'!$C$42-'WLPIP 2 (HIDE)'!R19&lt;0,"-",SUM(R18+'Cost of Production'!$C$42-'WLPIP 2 (HIDE)'!R19)))</f>
        <v/>
      </c>
      <c r="S33" s="51" t="str">
        <f>IF(SUM(S14*($C$5/100))=0,"",IF(S18+'Cost of Production'!$C$42-'WLPIP 2 (HIDE)'!S19&lt;0,"-",SUM(S18+'Cost of Production'!$C$42-'WLPIP 2 (HIDE)'!S19)))</f>
        <v/>
      </c>
      <c r="T33" s="51" t="str">
        <f>IF(SUM(T14*($C$5/100))=0,"",IF(T18+'Cost of Production'!$C$42-'WLPIP 2 (HIDE)'!T19&lt;0,"-",SUM(T18+'Cost of Production'!$C$42-'WLPIP 2 (HIDE)'!T19)))</f>
        <v/>
      </c>
      <c r="U33" s="51" t="str">
        <f>IF(SUM(U14*($C$5/100))=0,"",IF(U18+'Cost of Production'!$C$42-'WLPIP 2 (HIDE)'!U19&lt;0,"-",SUM(U18+'Cost of Production'!$C$42-'WLPIP 2 (HIDE)'!U19)))</f>
        <v/>
      </c>
      <c r="V33" s="51" t="str">
        <f>IF(SUM(V14*($C$5/100))=0,"",IF(V18+'Cost of Production'!$C$42-'WLPIP 2 (HIDE)'!V19&lt;0,"-",SUM(V18+'Cost of Production'!$C$42-'WLPIP 2 (HIDE)'!V19)))</f>
        <v/>
      </c>
    </row>
    <row r="34" spans="1:54" x14ac:dyDescent="0.55000000000000004">
      <c r="B34" s="1" t="s">
        <v>50</v>
      </c>
      <c r="C34" s="40">
        <f>IF(SUM(C14*($C$5/100))=0,"",IF(C18+'Cost of Production'!$C$46-'WLPIP 2 (HIDE)'!C19&lt;0,"-",SUM(C18+'Cost of Production'!$C$46-'WLPIP 2 (HIDE)'!C19)))</f>
        <v>1116.1422153583621</v>
      </c>
      <c r="D34" s="40">
        <f>IF(SUM(D14*($C$5/100))=0,"",IF(D18+'Cost of Production'!$C$46-'WLPIP 2 (HIDE)'!D19&lt;0,"-",SUM(D18+'Cost of Production'!$C$46-'WLPIP 2 (HIDE)'!D19)))</f>
        <v>1065.9619075471701</v>
      </c>
      <c r="E34" s="40">
        <f>IF(SUM(E14*($C$5/100))=0,"",IF(E18+'Cost of Production'!$C$46-'WLPIP 2 (HIDE)'!E19&lt;0,"-",SUM(E18+'Cost of Production'!$C$46-'WLPIP 2 (HIDE)'!E19)))</f>
        <v>1007.7858069182392</v>
      </c>
      <c r="F34" s="40">
        <f>IF(SUM(F14*($C$5/100))=0,"",IF(F18+'Cost of Production'!$C$46-'WLPIP 2 (HIDE)'!F19&lt;0,"-",SUM(F18+'Cost of Production'!$C$46-'WLPIP 2 (HIDE)'!F19)))</f>
        <v>931.01595978647708</v>
      </c>
      <c r="G34" s="40">
        <f>IF(SUM(G14*($C$5/100))=0,"",IF(G18+'Cost of Production'!$C$46-'WLPIP 2 (HIDE)'!G19&lt;0,"-",SUM(G18+'Cost of Production'!$C$46-'WLPIP 2 (HIDE)'!G19)))</f>
        <v>836.30188860244255</v>
      </c>
      <c r="H34" s="40">
        <f>IF(SUM(H14*($C$5/100))=0,"",IF(H18+'Cost of Production'!$C$46-'WLPIP 2 (HIDE)'!H19&lt;0,"-",SUM(H18+'Cost of Production'!$C$46-'WLPIP 2 (HIDE)'!H19)))</f>
        <v>743.03953969465658</v>
      </c>
      <c r="I34" s="40">
        <f>IF(SUM(I14*($C$5/100))=0,"",IF(I18+'Cost of Production'!$C$46-'WLPIP 2 (HIDE)'!I19&lt;0,"-",SUM(I18+'Cost of Production'!$C$46-'WLPIP 2 (HIDE)'!I19)))</f>
        <v>598.17070357781768</v>
      </c>
      <c r="J34" s="40">
        <f>IF(SUM(J14*($C$5/100))=0,"",IF(J18+'Cost of Production'!$C$46-'WLPIP 2 (HIDE)'!J19&lt;0,"-",SUM(J18+'Cost of Production'!$C$46-'WLPIP 2 (HIDE)'!J19)))</f>
        <v>453.57765277207409</v>
      </c>
      <c r="K34" s="40">
        <f>IF(SUM(K14*($C$5/100))=0,"",IF(K18+'Cost of Production'!$C$46-'WLPIP 2 (HIDE)'!K19&lt;0,"-",SUM(K18+'Cost of Production'!$C$46-'WLPIP 2 (HIDE)'!K19)))</f>
        <v>228.68613842364539</v>
      </c>
      <c r="L34" s="40" t="str">
        <f>IF(SUM(L14*($C$5/100))=0,"",IF(L18+'Cost of Production'!$C$46-'WLPIP 2 (HIDE)'!L19&lt;0,"-",SUM(L18+'Cost of Production'!$C$46-'WLPIP 2 (HIDE)'!L19)))</f>
        <v>-</v>
      </c>
      <c r="M34" s="40" t="str">
        <f>IF(SUM(M14*($C$5/100))=0,"",IF(M18+'Cost of Production'!$C$46-'WLPIP 2 (HIDE)'!M19&lt;0,"-",SUM(M18+'Cost of Production'!$C$46-'WLPIP 2 (HIDE)'!M19)))</f>
        <v>-</v>
      </c>
      <c r="N34" s="40" t="str">
        <f>IF(SUM(N14*($C$5/100))=0,"",IF(N18+'Cost of Production'!$C$46-'WLPIP 2 (HIDE)'!N19&lt;0,"-",SUM(N18+'Cost of Production'!$C$46-'WLPIP 2 (HIDE)'!N19)))</f>
        <v>-</v>
      </c>
      <c r="O34" s="40" t="str">
        <f>IF(SUM(O14*($C$5/100))=0,"",IF(O18+'Cost of Production'!$C$46-'WLPIP 2 (HIDE)'!O19&lt;0,"-",SUM(O18+'Cost of Production'!$C$46-'WLPIP 2 (HIDE)'!O19)))</f>
        <v>-</v>
      </c>
      <c r="P34" s="40" t="str">
        <f>IF(SUM(P14*($C$5/100))=0,"",IF(P18+'Cost of Production'!$C$46-'WLPIP 2 (HIDE)'!P19&lt;0,"-",SUM(P18+'Cost of Production'!$C$46-'WLPIP 2 (HIDE)'!P19)))</f>
        <v>-</v>
      </c>
      <c r="Q34" s="40" t="str">
        <f>IF(SUM(Q14*($C$5/100))=0,"",IF(Q18+'Cost of Production'!$C$46-'WLPIP 2 (HIDE)'!Q19&lt;0,"-",SUM(Q18+'Cost of Production'!$C$46-'WLPIP 2 (HIDE)'!Q19)))</f>
        <v>-</v>
      </c>
      <c r="R34" s="40" t="str">
        <f>IF(SUM(R14*($C$5/100))=0,"",IF(R18+'Cost of Production'!$C$46-'WLPIP 2 (HIDE)'!R19&lt;0,"-",SUM(R18+'Cost of Production'!$C$46-'WLPIP 2 (HIDE)'!R19)))</f>
        <v/>
      </c>
      <c r="S34" s="40" t="str">
        <f>IF(SUM(S14*($C$5/100))=0,"",IF(S18+'Cost of Production'!$C$46-'WLPIP 2 (HIDE)'!S19&lt;0,"-",SUM(S18+'Cost of Production'!$C$46-'WLPIP 2 (HIDE)'!S19)))</f>
        <v/>
      </c>
      <c r="T34" s="40" t="str">
        <f>IF(SUM(T14*($C$5/100))=0,"",IF(T18+'Cost of Production'!$C$46-'WLPIP 2 (HIDE)'!T19&lt;0,"-",SUM(T18+'Cost of Production'!$C$46-'WLPIP 2 (HIDE)'!T19)))</f>
        <v/>
      </c>
      <c r="U34" s="40" t="str">
        <f>IF(SUM(U14*($C$5/100))=0,"",IF(U18+'Cost of Production'!$C$46-'WLPIP 2 (HIDE)'!U19&lt;0,"-",SUM(U18+'Cost of Production'!$C$46-'WLPIP 2 (HIDE)'!U19)))</f>
        <v/>
      </c>
      <c r="V34" s="40" t="str">
        <f>IF(SUM(V14*($C$5/100))=0,"",IF(V18+'Cost of Production'!$C$46-'WLPIP 2 (HIDE)'!V19&lt;0,"-",SUM(V18+'Cost of Production'!$C$46-'WLPIP 2 (HIDE)'!V19)))</f>
        <v/>
      </c>
    </row>
    <row r="35" spans="1:54" ht="7.5" customHeight="1" x14ac:dyDescent="0.55000000000000004">
      <c r="B35" s="1"/>
      <c r="C35" s="40"/>
      <c r="D35" s="40"/>
      <c r="E35" s="40"/>
      <c r="F35" s="40"/>
      <c r="G35" s="40"/>
      <c r="H35" s="40"/>
      <c r="I35" s="40"/>
      <c r="J35" s="40"/>
      <c r="K35" s="40"/>
      <c r="L35" s="40"/>
      <c r="M35" s="40"/>
      <c r="N35" s="40"/>
      <c r="O35" s="40"/>
      <c r="P35" s="40"/>
      <c r="Q35" s="40"/>
      <c r="R35" s="40"/>
      <c r="S35" s="40"/>
      <c r="T35" s="40"/>
      <c r="U35" s="40"/>
      <c r="V35" s="40"/>
    </row>
    <row r="36" spans="1:54" ht="18" customHeight="1" x14ac:dyDescent="0.55000000000000004">
      <c r="A36" s="90" t="s">
        <v>68</v>
      </c>
      <c r="B36" s="88"/>
      <c r="C36" s="87"/>
      <c r="D36" s="87"/>
      <c r="E36" s="87"/>
      <c r="F36" s="87"/>
      <c r="G36" s="87"/>
      <c r="H36" s="87"/>
      <c r="I36" s="87"/>
      <c r="J36" s="87"/>
      <c r="K36" s="88"/>
      <c r="L36" s="88"/>
      <c r="M36" s="88"/>
      <c r="N36" s="88"/>
      <c r="O36" s="88"/>
      <c r="P36" s="88"/>
      <c r="Q36" s="88"/>
      <c r="R36" s="88"/>
      <c r="S36" s="88"/>
      <c r="T36" s="88"/>
      <c r="U36" s="88"/>
      <c r="V36" s="88"/>
      <c r="W36" s="2" t="s">
        <v>99</v>
      </c>
      <c r="Y36" s="92" t="s">
        <v>100</v>
      </c>
      <c r="Z36" s="92"/>
      <c r="AA36" s="92"/>
      <c r="AB36" s="92"/>
    </row>
    <row r="37" spans="1:54" ht="18" hidden="1" customHeight="1" x14ac:dyDescent="0.55000000000000004">
      <c r="A37" s="88"/>
      <c r="B37" s="88" t="s">
        <v>61</v>
      </c>
      <c r="C37" s="91">
        <f t="shared" ref="C37:V37" si="8">IF(OR(D23="",C23=""),"",SUM(C18-D18))</f>
        <v>0</v>
      </c>
      <c r="D37" s="91">
        <f t="shared" si="8"/>
        <v>0</v>
      </c>
      <c r="E37" s="91">
        <f t="shared" si="8"/>
        <v>0</v>
      </c>
      <c r="F37" s="91">
        <f t="shared" si="8"/>
        <v>0</v>
      </c>
      <c r="G37" s="91">
        <f t="shared" si="8"/>
        <v>0</v>
      </c>
      <c r="H37" s="91">
        <f t="shared" si="8"/>
        <v>0</v>
      </c>
      <c r="I37" s="91">
        <f t="shared" si="8"/>
        <v>0</v>
      </c>
      <c r="J37" s="91">
        <f t="shared" si="8"/>
        <v>0</v>
      </c>
      <c r="K37" s="91">
        <f t="shared" si="8"/>
        <v>0</v>
      </c>
      <c r="L37" s="91">
        <f t="shared" si="8"/>
        <v>0</v>
      </c>
      <c r="M37" s="91">
        <f t="shared" si="8"/>
        <v>0</v>
      </c>
      <c r="N37" s="91">
        <f t="shared" si="8"/>
        <v>0</v>
      </c>
      <c r="O37" s="91">
        <f t="shared" si="8"/>
        <v>0</v>
      </c>
      <c r="P37" s="91">
        <f t="shared" si="8"/>
        <v>0.22250000000000014</v>
      </c>
      <c r="Q37" s="91" t="str">
        <f t="shared" si="8"/>
        <v/>
      </c>
      <c r="R37" s="91" t="str">
        <f t="shared" si="8"/>
        <v/>
      </c>
      <c r="S37" s="91" t="str">
        <f t="shared" si="8"/>
        <v/>
      </c>
      <c r="T37" s="91" t="str">
        <f t="shared" si="8"/>
        <v/>
      </c>
      <c r="U37" s="91" t="str">
        <f t="shared" si="8"/>
        <v/>
      </c>
      <c r="V37" s="91" t="str">
        <f t="shared" si="8"/>
        <v/>
      </c>
      <c r="BB37" s="2">
        <f>SUM(BB36+1)</f>
        <v>1</v>
      </c>
    </row>
    <row r="38" spans="1:54" ht="18" hidden="1" customHeight="1" x14ac:dyDescent="0.55000000000000004">
      <c r="A38" s="88"/>
      <c r="B38" s="88" t="s">
        <v>62</v>
      </c>
      <c r="C38" s="91">
        <f t="shared" ref="C38:V38" si="9">IF(OR(D23="",C23=""),"",SUM(C19-D19))</f>
        <v>-50.180307811192051</v>
      </c>
      <c r="D38" s="91">
        <f t="shared" si="9"/>
        <v>-58.176100628930726</v>
      </c>
      <c r="E38" s="91">
        <f t="shared" si="9"/>
        <v>-76.769847131762162</v>
      </c>
      <c r="F38" s="91">
        <f t="shared" si="9"/>
        <v>-94.714071184034538</v>
      </c>
      <c r="G38" s="91">
        <f t="shared" si="9"/>
        <v>-93.262348907785963</v>
      </c>
      <c r="H38" s="91">
        <f t="shared" si="9"/>
        <v>-144.86883611683891</v>
      </c>
      <c r="I38" s="91">
        <f t="shared" si="9"/>
        <v>-144.59305080574359</v>
      </c>
      <c r="J38" s="91">
        <f t="shared" si="9"/>
        <v>-224.8915143484287</v>
      </c>
      <c r="K38" s="91">
        <f t="shared" si="9"/>
        <v>-275.52586572334826</v>
      </c>
      <c r="L38" s="91">
        <f t="shared" si="9"/>
        <v>-90.028553832372154</v>
      </c>
      <c r="M38" s="91">
        <f t="shared" si="9"/>
        <v>-126.63895107131452</v>
      </c>
      <c r="N38" s="91">
        <f t="shared" si="9"/>
        <v>-76.090876307248436</v>
      </c>
      <c r="O38" s="91">
        <f t="shared" si="9"/>
        <v>-83.445384797911856</v>
      </c>
      <c r="P38" s="91">
        <f t="shared" si="9"/>
        <v>-52.107806691449923</v>
      </c>
      <c r="Q38" s="91" t="str">
        <f t="shared" si="9"/>
        <v/>
      </c>
      <c r="R38" s="91" t="str">
        <f t="shared" si="9"/>
        <v/>
      </c>
      <c r="S38" s="91" t="str">
        <f t="shared" si="9"/>
        <v/>
      </c>
      <c r="T38" s="91" t="str">
        <f t="shared" si="9"/>
        <v/>
      </c>
      <c r="U38" s="91" t="str">
        <f t="shared" si="9"/>
        <v/>
      </c>
      <c r="V38" s="91" t="str">
        <f t="shared" si="9"/>
        <v/>
      </c>
      <c r="BB38" s="2">
        <f>SUM(BB37+1)</f>
        <v>2</v>
      </c>
    </row>
    <row r="39" spans="1:54" x14ac:dyDescent="0.55000000000000004">
      <c r="A39" s="88"/>
      <c r="B39" s="88" t="s">
        <v>65</v>
      </c>
      <c r="C39" s="86">
        <f t="shared" ref="C39:V39" si="10">IF(OR(D23="",C23=""),"",SUM((C23-D23)/(C24-D24)))</f>
        <v>0</v>
      </c>
      <c r="D39" s="86">
        <f t="shared" si="10"/>
        <v>0</v>
      </c>
      <c r="E39" s="86">
        <f t="shared" si="10"/>
        <v>0</v>
      </c>
      <c r="F39" s="86">
        <f t="shared" si="10"/>
        <v>0</v>
      </c>
      <c r="G39" s="86">
        <f t="shared" si="10"/>
        <v>0</v>
      </c>
      <c r="H39" s="86">
        <f t="shared" si="10"/>
        <v>0</v>
      </c>
      <c r="I39" s="86">
        <f t="shared" si="10"/>
        <v>0</v>
      </c>
      <c r="J39" s="86">
        <f t="shared" si="10"/>
        <v>0</v>
      </c>
      <c r="K39" s="86">
        <f t="shared" si="10"/>
        <v>0</v>
      </c>
      <c r="L39" s="86">
        <f t="shared" si="10"/>
        <v>0</v>
      </c>
      <c r="M39" s="86">
        <f t="shared" si="10"/>
        <v>0</v>
      </c>
      <c r="N39" s="86">
        <f t="shared" si="10"/>
        <v>0</v>
      </c>
      <c r="O39" s="86">
        <f t="shared" si="10"/>
        <v>0</v>
      </c>
      <c r="P39" s="86">
        <f t="shared" si="10"/>
        <v>-4.2699935792252152E-3</v>
      </c>
      <c r="Q39" s="86" t="str">
        <f t="shared" si="10"/>
        <v/>
      </c>
      <c r="R39" s="86" t="str">
        <f t="shared" si="10"/>
        <v/>
      </c>
      <c r="S39" s="86" t="str">
        <f t="shared" si="10"/>
        <v/>
      </c>
      <c r="T39" s="86" t="str">
        <f t="shared" si="10"/>
        <v/>
      </c>
      <c r="U39" s="86" t="str">
        <f t="shared" si="10"/>
        <v/>
      </c>
      <c r="V39" s="86" t="str">
        <f t="shared" si="10"/>
        <v/>
      </c>
    </row>
    <row r="40" spans="1:54" ht="7.5" customHeight="1" x14ac:dyDescent="0.55000000000000004">
      <c r="C40" s="40"/>
      <c r="D40" s="40"/>
      <c r="E40" s="40"/>
      <c r="F40" s="40"/>
      <c r="G40" s="40"/>
      <c r="H40" s="40"/>
      <c r="I40" s="40"/>
      <c r="J40" s="40"/>
      <c r="K40" s="40"/>
      <c r="L40" s="40"/>
      <c r="M40" s="40"/>
      <c r="N40" s="40"/>
      <c r="O40" s="40"/>
      <c r="P40" s="40"/>
      <c r="Q40" s="40"/>
      <c r="R40" s="40"/>
      <c r="S40" s="40"/>
      <c r="T40" s="40"/>
      <c r="U40" s="40"/>
      <c r="V40" s="40"/>
    </row>
    <row r="41" spans="1:54" ht="17.7" x14ac:dyDescent="0.55000000000000004">
      <c r="A41" s="120" t="s">
        <v>59</v>
      </c>
      <c r="B41" s="120"/>
      <c r="C41" s="120"/>
      <c r="D41" s="120"/>
      <c r="E41" s="120"/>
      <c r="F41" s="120"/>
      <c r="G41" s="120"/>
      <c r="H41" s="120"/>
      <c r="I41" s="120"/>
      <c r="J41" s="120"/>
      <c r="K41" s="120"/>
      <c r="L41" s="120"/>
      <c r="M41" s="120"/>
      <c r="N41" s="120"/>
      <c r="O41" s="120"/>
      <c r="P41" s="120"/>
      <c r="Q41" s="120"/>
      <c r="R41" s="120"/>
      <c r="S41" s="120"/>
      <c r="T41" s="120"/>
      <c r="U41" s="120"/>
      <c r="V41" s="120"/>
      <c r="W41" s="1"/>
      <c r="X41" s="1"/>
      <c r="Y41" s="1"/>
      <c r="Z41" s="1"/>
      <c r="AA41" s="1"/>
    </row>
    <row r="42" spans="1:54" ht="7.5" customHeight="1" x14ac:dyDescent="0.55000000000000004">
      <c r="A42" s="44"/>
      <c r="B42" s="44"/>
      <c r="C42" s="44"/>
      <c r="D42" s="44"/>
      <c r="E42" s="44"/>
      <c r="F42" s="44"/>
      <c r="G42" s="44"/>
      <c r="H42" s="44"/>
      <c r="I42" s="44"/>
      <c r="J42" s="44"/>
      <c r="K42" s="44"/>
      <c r="L42" s="44"/>
      <c r="M42" s="44"/>
      <c r="N42" s="44"/>
      <c r="O42" s="44"/>
      <c r="P42" s="44"/>
      <c r="Q42" s="44"/>
      <c r="R42" s="44"/>
      <c r="S42" s="44"/>
      <c r="T42" s="44"/>
      <c r="U42" s="44"/>
      <c r="V42" s="44"/>
      <c r="W42" s="1"/>
      <c r="X42" s="1"/>
      <c r="Y42" s="1"/>
      <c r="Z42" s="1"/>
      <c r="AA42" s="1"/>
    </row>
    <row r="43" spans="1:54" x14ac:dyDescent="0.55000000000000004">
      <c r="A43" s="13" t="str">
        <f>"Marginal Returns (based on Est. Settlement Price @ $"&amp;I5&amp;"/cwt + WLPIP Payment per head)"</f>
        <v>Marginal Returns (based on Est. Settlement Price @ $325/cwt + WLPIP Payment per head)</v>
      </c>
      <c r="B43" s="13"/>
      <c r="C43" s="6"/>
      <c r="D43" s="6"/>
      <c r="E43" s="6"/>
      <c r="F43" s="6"/>
      <c r="G43" s="6"/>
      <c r="H43" s="6"/>
      <c r="I43" s="6"/>
      <c r="J43" s="6"/>
    </row>
    <row r="44" spans="1:54" x14ac:dyDescent="0.55000000000000004">
      <c r="A44" s="4"/>
      <c r="B44" s="5" t="s">
        <v>0</v>
      </c>
      <c r="C44" s="65">
        <f>IF(SUM(C14*($C$5/100))=0,"",IF(ROUND(C13-$I$5,1)&lt;1,(($I$5/100)*$C$5)-('Cost of Production'!$C$33+C18),((($I$5/100)*$C$5)+C27)-('Cost of Production'!$C$33+C18)))</f>
        <v>749.39215324232055</v>
      </c>
      <c r="D44" s="65">
        <f>IF(SUM(D14*($C$5/100))=0,"",IF(ROUND(D13-$I$5,1)&lt;1,(($I$5/100)*$C$5)-('Cost of Production'!$C$33+D18),((($I$5/100)*$C$5)+D27)-('Cost of Production'!$C$33+D18)))</f>
        <v>755.62243207547158</v>
      </c>
      <c r="E44" s="65">
        <f>IF(SUM(E14*($C$5/100))=0,"",IF(ROUND(E13-$I$5,1)&lt;1,(($I$5/100)*$C$5)-('Cost of Production'!$C$33+E18),((($I$5/100)*$C$5)+E27)-('Cost of Production'!$C$33+E18)))</f>
        <v>762.69790377358458</v>
      </c>
      <c r="F44" s="65">
        <f>IF(SUM(F14*($C$5/100))=0,"",IF(ROUND(F13-$I$5,1)&lt;1,(($I$5/100)*$C$5)-('Cost of Production'!$C$33+F18),((($I$5/100)*$C$5)+F27)-('Cost of Production'!$C$33+F18)))</f>
        <v>772.18222526690374</v>
      </c>
      <c r="G44" s="65">
        <f>IF(SUM(G14*($C$5/100))=0,"",IF(ROUND(G13-$I$5,1)&lt;1,(($I$5/100)*$C$5)-('Cost of Production'!$C$33+G18),((($I$5/100)*$C$5)+G27)-('Cost of Production'!$C$33+G18)))</f>
        <v>783.72271112618705</v>
      </c>
      <c r="H44" s="65">
        <f>IF(SUM(H14*($C$5/100))=0,"",IF(ROUND(H13-$I$5,1)&lt;1,(($I$5/100)*$C$5)-('Cost of Production'!$C$33+H18),((($I$5/100)*$C$5)+H27)-('Cost of Production'!$C$33+H18)))</f>
        <v>794.17565114503805</v>
      </c>
      <c r="I44" s="65">
        <f>IF(SUM(I14*($C$5/100))=0,"",IF(ROUND(I13-$I$5,1)&lt;1,(($I$5/100)*$C$5)-('Cost of Production'!$C$33+I18),((($I$5/100)*$C$5)+I27)-('Cost of Production'!$C$33+I18)))</f>
        <v>811.2262731663684</v>
      </c>
      <c r="J44" s="65">
        <f>IF(SUM(J14*($C$5/100))=0,"",IF(ROUND(J13-$I$5,1)&lt;1,(($I$5/100)*$C$5)-('Cost of Production'!$C$33+J18),((($I$5/100)*$C$5)+J27)-('Cost of Production'!$C$33+J18)))</f>
        <v>826.88565318275141</v>
      </c>
      <c r="K44" s="65">
        <f>IF(SUM(K14*($C$5/100))=0,"",IF(ROUND(K13-$I$5,1)&lt;1,(($I$5/100)*$C$5)-('Cost of Production'!$C$33+K18),((($I$5/100)*$C$5)+K27)-('Cost of Production'!$C$33+K18)))</f>
        <v>852.06494532019678</v>
      </c>
      <c r="L44" s="65">
        <f>IF(SUM(L14*($C$5/100))=0,"",IF(ROUND(L13-$I$5,1)&lt;1,(($I$5/100)*$C$5)-('Cost of Production'!$C$33+L18),((($I$5/100)*$C$5)+L27)-('Cost of Production'!$C$33+L18)))</f>
        <v>881.74219020771488</v>
      </c>
      <c r="M44" s="65">
        <f>IF(SUM(M14*($C$5/100))=0,"",IF(ROUND(M13-$I$5,1)&lt;1,(($I$5/100)*$C$5)-('Cost of Production'!$C$33+M18),((($I$5/100)*$C$5)+M27)-('Cost of Production'!$C$33+M18)))</f>
        <v>885.33941320754684</v>
      </c>
      <c r="N44" s="65">
        <f>IF(SUM(N14*($C$5/100))=0,"",IF(ROUND(N13-$I$5,1)&lt;1,(($I$5/100)*$C$5)-('Cost of Production'!$C$33+N18),((($I$5/100)*$C$5)+N27)-('Cost of Production'!$C$33+N18)))</f>
        <v>892.45485932203383</v>
      </c>
      <c r="O44" s="65">
        <f>IF(SUM(O14*($C$5/100))=0,"",IF(ROUND(O13-$I$5,1)&lt;1,(($I$5/100)*$C$5)-('Cost of Production'!$C$33+O18),((($I$5/100)*$C$5)+O27)-('Cost of Production'!$C$33+O18)))</f>
        <v>892.36470425531888</v>
      </c>
      <c r="P44" s="65">
        <f>IF(SUM(P14*($C$5/100))=0,"",IF(ROUND(P13-$I$5,1)&lt;1,(($I$5/100)*$C$5)-('Cost of Production'!$C$33+P18),((($I$5/100)*$C$5)+P27)-('Cost of Production'!$C$33+P18)))</f>
        <v>892.26583531598499</v>
      </c>
      <c r="Q44" s="65">
        <f>IF(SUM(Q14*($C$5/100))=0,"",IF(ROUND(Q13-$I$5,1)&lt;1,(($I$5/100)*$C$5)-('Cost of Production'!$C$33+Q18),((($I$5/100)*$C$5)+Q27)-('Cost of Production'!$C$33+Q18)))</f>
        <v>888.11379999999986</v>
      </c>
      <c r="R44" s="65" t="str">
        <f>IF(SUM(R14*($C$5/100))=0,"",IF(ROUND(R13-$I$5,1)&lt;1,(($I$5/100)*$C$5)-('Cost of Production'!$C$33+R18),((($I$5/100)*$C$5)+R27)-('Cost of Production'!$C$33+R18)))</f>
        <v/>
      </c>
      <c r="S44" s="65" t="str">
        <f>IF(SUM(S14*($C$5/100))=0,"",IF(ROUND(S13-$I$5,1)&lt;1,(($I$5/100)*$C$5)-('Cost of Production'!$C$33+S18),((($I$5/100)*$C$5)+S27)-('Cost of Production'!$C$33+S18)))</f>
        <v/>
      </c>
      <c r="T44" s="65" t="str">
        <f>IF(SUM(T14*($C$5/100))=0,"",IF(ROUND(T13-$I$5,1)&lt;1,(($I$5/100)*$C$5)-('Cost of Production'!$C$33+T18),((($I$5/100)*$C$5)+T27)-('Cost of Production'!$C$33+T18)))</f>
        <v/>
      </c>
      <c r="U44" s="65" t="str">
        <f>IF(SUM(U14*($C$5/100))=0,"",IF(ROUND(U13-$I$5,1)&lt;1,(($I$5/100)*$C$5)-('Cost of Production'!$C$33+U18),((($I$5/100)*$C$5)+U27)-('Cost of Production'!$C$33+U18)))</f>
        <v/>
      </c>
      <c r="V44" s="65" t="str">
        <f>IF(SUM(V14*($C$5/100))=0,"",IF(ROUND(V13-$I$5,1)&lt;1,(($I$5/100)*$C$5)-('Cost of Production'!$C$33+V18),((($I$5/100)*$C$5)+V27)-('Cost of Production'!$C$33+V18)))</f>
        <v/>
      </c>
    </row>
    <row r="45" spans="1:54" x14ac:dyDescent="0.55000000000000004">
      <c r="A45" s="4"/>
      <c r="B45" s="5" t="s">
        <v>1</v>
      </c>
      <c r="C45" s="65">
        <f>IF(SUM(C14*($C$5/100))=0,"",IF(ROUND(C13-$I$5,1)&lt;1,(($I$5/100)*$C$5)-('Cost of Production'!$C$33+'Cost of Production'!$C$44+C18),((($I$5/100)*$C$5)+C27)-('Cost of Production'!$C$33+'Cost of Production'!$C$44+C18)))</f>
        <v>587.39215324232055</v>
      </c>
      <c r="D45" s="65">
        <f>IF(SUM(D14*($C$5/100))=0,"",IF(ROUND(D13-$I$5,1)&lt;1,(($I$5/100)*$C$5)-('Cost of Production'!$C$33+'Cost of Production'!$C$44+D18),((($I$5/100)*$C$5)+D27)-('Cost of Production'!$C$33+'Cost of Production'!$C$44+D18)))</f>
        <v>593.62243207547158</v>
      </c>
      <c r="E45" s="65">
        <f>IF(SUM(E14*($C$5/100))=0,"",IF(ROUND(E13-$I$5,1)&lt;1,(($I$5/100)*$C$5)-('Cost of Production'!$C$33+'Cost of Production'!$C$44+E18),((($I$5/100)*$C$5)+E27)-('Cost of Production'!$C$33+'Cost of Production'!$C$44+E18)))</f>
        <v>600.69790377358458</v>
      </c>
      <c r="F45" s="65">
        <f>IF(SUM(F14*($C$5/100))=0,"",IF(ROUND(F13-$I$5,1)&lt;1,(($I$5/100)*$C$5)-('Cost of Production'!$C$33+'Cost of Production'!$C$44+F18),((($I$5/100)*$C$5)+F27)-('Cost of Production'!$C$33+'Cost of Production'!$C$44+F18)))</f>
        <v>610.18222526690374</v>
      </c>
      <c r="G45" s="65">
        <f>IF(SUM(G14*($C$5/100))=0,"",IF(ROUND(G13-$I$5,1)&lt;1,(($I$5/100)*$C$5)-('Cost of Production'!$C$33+'Cost of Production'!$C$44+G18),((($I$5/100)*$C$5)+G27)-('Cost of Production'!$C$33+'Cost of Production'!$C$44+G18)))</f>
        <v>621.72271112618705</v>
      </c>
      <c r="H45" s="65">
        <f>IF(SUM(H14*($C$5/100))=0,"",IF(ROUND(H13-$I$5,1)&lt;1,(($I$5/100)*$C$5)-('Cost of Production'!$C$33+'Cost of Production'!$C$44+H18),((($I$5/100)*$C$5)+H27)-('Cost of Production'!$C$33+'Cost of Production'!$C$44+H18)))</f>
        <v>632.17565114503805</v>
      </c>
      <c r="I45" s="65">
        <f>IF(SUM(I14*($C$5/100))=0,"",IF(ROUND(I13-$I$5,1)&lt;1,(($I$5/100)*$C$5)-('Cost of Production'!$C$33+'Cost of Production'!$C$44+I18),((($I$5/100)*$C$5)+I27)-('Cost of Production'!$C$33+'Cost of Production'!$C$44+I18)))</f>
        <v>649.2262731663684</v>
      </c>
      <c r="J45" s="65">
        <f>IF(SUM(J14*($C$5/100))=0,"",IF(ROUND(J13-$I$5,1)&lt;1,(($I$5/100)*$C$5)-('Cost of Production'!$C$33+'Cost of Production'!$C$44+J18),((($I$5/100)*$C$5)+J27)-('Cost of Production'!$C$33+'Cost of Production'!$C$44+J18)))</f>
        <v>664.88565318275141</v>
      </c>
      <c r="K45" s="65">
        <f>IF(SUM(K14*($C$5/100))=0,"",IF(ROUND(K13-$I$5,1)&lt;1,(($I$5/100)*$C$5)-('Cost of Production'!$C$33+'Cost of Production'!$C$44+K18),((($I$5/100)*$C$5)+K27)-('Cost of Production'!$C$33+'Cost of Production'!$C$44+K18)))</f>
        <v>690.06494532019678</v>
      </c>
      <c r="L45" s="65">
        <f>IF(SUM(L14*($C$5/100))=0,"",IF(ROUND(L13-$I$5,1)&lt;1,(($I$5/100)*$C$5)-('Cost of Production'!$C$33+'Cost of Production'!$C$44+L18),((($I$5/100)*$C$5)+L27)-('Cost of Production'!$C$33+'Cost of Production'!$C$44+L18)))</f>
        <v>719.74219020771488</v>
      </c>
      <c r="M45" s="65">
        <f>IF(SUM(M14*($C$5/100))=0,"",IF(ROUND(M13-$I$5,1)&lt;1,(($I$5/100)*$C$5)-('Cost of Production'!$C$33+'Cost of Production'!$C$44+M18),((($I$5/100)*$C$5)+M27)-('Cost of Production'!$C$33+'Cost of Production'!$C$44+M18)))</f>
        <v>723.33941320754684</v>
      </c>
      <c r="N45" s="65">
        <f>IF(SUM(N14*($C$5/100))=0,"",IF(ROUND(N13-$I$5,1)&lt;1,(($I$5/100)*$C$5)-('Cost of Production'!$C$33+'Cost of Production'!$C$44+N18),((($I$5/100)*$C$5)+N27)-('Cost of Production'!$C$33+'Cost of Production'!$C$44+N18)))</f>
        <v>730.45485932203383</v>
      </c>
      <c r="O45" s="65">
        <f>IF(SUM(O14*($C$5/100))=0,"",IF(ROUND(O13-$I$5,1)&lt;1,(($I$5/100)*$C$5)-('Cost of Production'!$C$33+'Cost of Production'!$C$44+O18),((($I$5/100)*$C$5)+O27)-('Cost of Production'!$C$33+'Cost of Production'!$C$44+O18)))</f>
        <v>730.36470425531888</v>
      </c>
      <c r="P45" s="65">
        <f>IF(SUM(P14*($C$5/100))=0,"",IF(ROUND(P13-$I$5,1)&lt;1,(($I$5/100)*$C$5)-('Cost of Production'!$C$33+'Cost of Production'!$C$44+P18),((($I$5/100)*$C$5)+P27)-('Cost of Production'!$C$33+'Cost of Production'!$C$44+P18)))</f>
        <v>730.26583531598499</v>
      </c>
      <c r="Q45" s="65">
        <f>IF(SUM(Q14*($C$5/100))=0,"",IF(ROUND(Q13-$I$5,1)&lt;1,(($I$5/100)*$C$5)-('Cost of Production'!$C$33+'Cost of Production'!$C$44+Q18),((($I$5/100)*$C$5)+Q27)-('Cost of Production'!$C$33+'Cost of Production'!$C$44+Q18)))</f>
        <v>726.11379999999986</v>
      </c>
      <c r="R45" s="65" t="str">
        <f>IF(SUM(R14*($C$5/100))=0,"",IF(ROUND(R13-$I$5,1)&lt;1,(($I$5/100)*$C$5)-('Cost of Production'!$C$33+'Cost of Production'!$C$44+R18),((($I$5/100)*$C$5)+R27)-('Cost of Production'!$C$33+'Cost of Production'!$C$44+R18)))</f>
        <v/>
      </c>
      <c r="S45" s="65" t="str">
        <f>IF(SUM(S14*($C$5/100))=0,"",IF(ROUND(S13-$I$5,1)&lt;1,(($I$5/100)*$C$5)-('Cost of Production'!$C$33+'Cost of Production'!$C$44+S18),((($I$5/100)*$C$5)+S27)-('Cost of Production'!$C$33+'Cost of Production'!$C$44+S18)))</f>
        <v/>
      </c>
      <c r="T45" s="65" t="str">
        <f>IF(SUM(T14*($C$5/100))=0,"",IF(ROUND(T13-$I$5,1)&lt;1,(($I$5/100)*$C$5)-('Cost of Production'!$C$33+'Cost of Production'!$C$44+T18),((($I$5/100)*$C$5)+T27)-('Cost of Production'!$C$33+'Cost of Production'!$C$44+T18)))</f>
        <v/>
      </c>
      <c r="U45" s="65" t="str">
        <f>IF(SUM(U14*($C$5/100))=0,"",IF(ROUND(U13-$I$5,1)&lt;1,(($I$5/100)*$C$5)-('Cost of Production'!$C$33+'Cost of Production'!$C$44+U18),((($I$5/100)*$C$5)+U27)-('Cost of Production'!$C$33+'Cost of Production'!$C$44+U18)))</f>
        <v/>
      </c>
      <c r="V45" s="65" t="str">
        <f>IF(SUM(V14*($C$5/100))=0,"",IF(ROUND(V13-$I$5,1)&lt;1,(($I$5/100)*$C$5)-('Cost of Production'!$C$33+'Cost of Production'!$C$44+V18),((($I$5/100)*$C$5)+V27)-('Cost of Production'!$C$33+'Cost of Production'!$C$44+V18)))</f>
        <v/>
      </c>
    </row>
    <row r="46" spans="1:54" x14ac:dyDescent="0.55000000000000004">
      <c r="A46" s="4"/>
      <c r="B46" s="5" t="s">
        <v>2</v>
      </c>
      <c r="C46" s="65">
        <f>IF(SUM(C14*($C$5/100))=0,"",IF(ROUND(C13-$I$5,1)&lt;1,(($I$5/100)*$C$5)-('Cost of Production'!$C$42+C18),((($I$5/100)*$C$5)+C27)-('Cost of Production'!$C$42+C18)))</f>
        <v>498.65215324232054</v>
      </c>
      <c r="D46" s="65">
        <f>IF(SUM(D14*($C$5/100))=0,"",IF(ROUND(D13-$I$5,1)&lt;1,(($I$5/100)*$C$5)-('Cost of Production'!$C$42+D18),((($I$5/100)*$C$5)+D27)-('Cost of Production'!$C$42+D18)))</f>
        <v>504.88243207547157</v>
      </c>
      <c r="E46" s="65">
        <f>IF(SUM(E14*($C$5/100))=0,"",IF(ROUND(E13-$I$5,1)&lt;1,(($I$5/100)*$C$5)-('Cost of Production'!$C$42+E18),((($I$5/100)*$C$5)+E27)-('Cost of Production'!$C$42+E18)))</f>
        <v>511.95790377358458</v>
      </c>
      <c r="F46" s="65">
        <f>IF(SUM(F14*($C$5/100))=0,"",IF(ROUND(F13-$I$5,1)&lt;1,(($I$5/100)*$C$5)-('Cost of Production'!$C$42+F18),((($I$5/100)*$C$5)+F27)-('Cost of Production'!$C$42+F18)))</f>
        <v>521.44222526690373</v>
      </c>
      <c r="G46" s="65">
        <f>IF(SUM(G14*($C$5/100))=0,"",IF(ROUND(G13-$I$5,1)&lt;1,(($I$5/100)*$C$5)-('Cost of Production'!$C$42+G18),((($I$5/100)*$C$5)+G27)-('Cost of Production'!$C$42+G18)))</f>
        <v>532.98271112618704</v>
      </c>
      <c r="H46" s="65">
        <f>IF(SUM(H14*($C$5/100))=0,"",IF(ROUND(H13-$I$5,1)&lt;1,(($I$5/100)*$C$5)-('Cost of Production'!$C$42+H18),((($I$5/100)*$C$5)+H27)-('Cost of Production'!$C$42+H18)))</f>
        <v>543.43565114503804</v>
      </c>
      <c r="I46" s="65">
        <f>IF(SUM(I14*($C$5/100))=0,"",IF(ROUND(I13-$I$5,1)&lt;1,(($I$5/100)*$C$5)-('Cost of Production'!$C$42+I18),((($I$5/100)*$C$5)+I27)-('Cost of Production'!$C$42+I18)))</f>
        <v>560.48627316636839</v>
      </c>
      <c r="J46" s="65">
        <f>IF(SUM(J14*($C$5/100))=0,"",IF(ROUND(J13-$I$5,1)&lt;1,(($I$5/100)*$C$5)-('Cost of Production'!$C$42+J18),((($I$5/100)*$C$5)+J27)-('Cost of Production'!$C$42+J18)))</f>
        <v>576.1456531827514</v>
      </c>
      <c r="K46" s="65">
        <f>IF(SUM(K14*($C$5/100))=0,"",IF(ROUND(K13-$I$5,1)&lt;1,(($I$5/100)*$C$5)-('Cost of Production'!$C$42+K18),((($I$5/100)*$C$5)+K27)-('Cost of Production'!$C$42+K18)))</f>
        <v>601.32494532019678</v>
      </c>
      <c r="L46" s="65">
        <f>IF(SUM(L14*($C$5/100))=0,"",IF(ROUND(L13-$I$5,1)&lt;1,(($I$5/100)*$C$5)-('Cost of Production'!$C$42+L18),((($I$5/100)*$C$5)+L27)-('Cost of Production'!$C$42+L18)))</f>
        <v>631.00219020771488</v>
      </c>
      <c r="M46" s="65">
        <f>IF(SUM(M14*($C$5/100))=0,"",IF(ROUND(M13-$I$5,1)&lt;1,(($I$5/100)*$C$5)-('Cost of Production'!$C$42+M18),((($I$5/100)*$C$5)+M27)-('Cost of Production'!$C$42+M18)))</f>
        <v>634.59941320754683</v>
      </c>
      <c r="N46" s="65">
        <f>IF(SUM(N14*($C$5/100))=0,"",IF(ROUND(N13-$I$5,1)&lt;1,(($I$5/100)*$C$5)-('Cost of Production'!$C$42+N18),((($I$5/100)*$C$5)+N27)-('Cost of Production'!$C$42+N18)))</f>
        <v>641.71485932203382</v>
      </c>
      <c r="O46" s="65">
        <f>IF(SUM(O14*($C$5/100))=0,"",IF(ROUND(O13-$I$5,1)&lt;1,(($I$5/100)*$C$5)-('Cost of Production'!$C$42+O18),((($I$5/100)*$C$5)+O27)-('Cost of Production'!$C$42+O18)))</f>
        <v>641.62470425531887</v>
      </c>
      <c r="P46" s="65">
        <f>IF(SUM(P14*($C$5/100))=0,"",IF(ROUND(P13-$I$5,1)&lt;1,(($I$5/100)*$C$5)-('Cost of Production'!$C$42+P18),((($I$5/100)*$C$5)+P27)-('Cost of Production'!$C$42+P18)))</f>
        <v>641.52583531598498</v>
      </c>
      <c r="Q46" s="65">
        <f>IF(SUM(Q14*($C$5/100))=0,"",IF(ROUND(Q13-$I$5,1)&lt;1,(($I$5/100)*$C$5)-('Cost of Production'!$C$42+Q18),((($I$5/100)*$C$5)+Q27)-('Cost of Production'!$C$42+Q18)))</f>
        <v>637.37379999999985</v>
      </c>
      <c r="R46" s="65" t="str">
        <f>IF(SUM(R14*($C$5/100))=0,"",IF(ROUND(R13-$I$5,1)&lt;1,(($I$5/100)*$C$5)-('Cost of Production'!$C$42+R18),((($I$5/100)*$C$5)+R27)-('Cost of Production'!$C$42+R18)))</f>
        <v/>
      </c>
      <c r="S46" s="65" t="str">
        <f>IF(SUM(S14*($C$5/100))=0,"",IF(ROUND(S13-$I$5,1)&lt;1,(($I$5/100)*$C$5)-('Cost of Production'!$C$42+S18),((($I$5/100)*$C$5)+S27)-('Cost of Production'!$C$42+S18)))</f>
        <v/>
      </c>
      <c r="T46" s="65" t="str">
        <f>IF(SUM(T14*($C$5/100))=0,"",IF(ROUND(T13-$I$5,1)&lt;1,(($I$5/100)*$C$5)-('Cost of Production'!$C$42+T18),((($I$5/100)*$C$5)+T27)-('Cost of Production'!$C$42+T18)))</f>
        <v/>
      </c>
      <c r="U46" s="65" t="str">
        <f>IF(SUM(U14*($C$5/100))=0,"",IF(ROUND(U13-$I$5,1)&lt;1,(($I$5/100)*$C$5)-('Cost of Production'!$C$42+U18),((($I$5/100)*$C$5)+U27)-('Cost of Production'!$C$42+U18)))</f>
        <v/>
      </c>
      <c r="V46" s="65" t="str">
        <f>IF(SUM(V14*($C$5/100))=0,"",IF(ROUND(V13-$I$5,1)&lt;1,(($I$5/100)*$C$5)-('Cost of Production'!$C$42+V18),((($I$5/100)*$C$5)+V27)-('Cost of Production'!$C$42+V18)))</f>
        <v/>
      </c>
    </row>
    <row r="47" spans="1:54" x14ac:dyDescent="0.55000000000000004">
      <c r="A47" s="4"/>
      <c r="B47" s="13" t="s">
        <v>3</v>
      </c>
      <c r="C47" s="66">
        <f>IF(SUM(C14*($C$5/100))=0,"",IF(ROUND(C13-$I$5,1)&lt;1,(($I$5/100)*$C$5)-('Cost of Production'!$C$46+C18),((($I$5/100)*$C$5)+C27)-('Cost of Production'!$C$46+C18)))</f>
        <v>336.65215324232054</v>
      </c>
      <c r="D47" s="66">
        <f>IF(SUM(D14*($C$5/100))=0,"",IF(ROUND(D13-$I$5,1)&lt;1,(($I$5/100)*$C$5)-('Cost of Production'!$C$46+D18),((($I$5/100)*$C$5)+D27)-('Cost of Production'!$C$46+D18)))</f>
        <v>342.88243207547157</v>
      </c>
      <c r="E47" s="66">
        <f>IF(SUM(E14*($C$5/100))=0,"",IF(ROUND(E13-$I$5,1)&lt;1,(($I$5/100)*$C$5)-('Cost of Production'!$C$46+E18),((($I$5/100)*$C$5)+E27)-('Cost of Production'!$C$46+E18)))</f>
        <v>349.95790377358458</v>
      </c>
      <c r="F47" s="66">
        <f>IF(SUM(F14*($C$5/100))=0,"",IF(ROUND(F13-$I$5,1)&lt;1,(($I$5/100)*$C$5)-('Cost of Production'!$C$46+F18),((($I$5/100)*$C$5)+F27)-('Cost of Production'!$C$46+F18)))</f>
        <v>359.44222526690373</v>
      </c>
      <c r="G47" s="66">
        <f>IF(SUM(G14*($C$5/100))=0,"",IF(ROUND(G13-$I$5,1)&lt;1,(($I$5/100)*$C$5)-('Cost of Production'!$C$46+G18),((($I$5/100)*$C$5)+G27)-('Cost of Production'!$C$46+G18)))</f>
        <v>370.98271112618704</v>
      </c>
      <c r="H47" s="66">
        <f>IF(SUM(H14*($C$5/100))=0,"",IF(ROUND(H13-$I$5,1)&lt;1,(($I$5/100)*$C$5)-('Cost of Production'!$C$46+H18),((($I$5/100)*$C$5)+H27)-('Cost of Production'!$C$46+H18)))</f>
        <v>381.43565114503804</v>
      </c>
      <c r="I47" s="66">
        <f>IF(SUM(I14*($C$5/100))=0,"",IF(ROUND(I13-$I$5,1)&lt;1,(($I$5/100)*$C$5)-('Cost of Production'!$C$46+I18),((($I$5/100)*$C$5)+I27)-('Cost of Production'!$C$46+I18)))</f>
        <v>398.48627316636839</v>
      </c>
      <c r="J47" s="66">
        <f>IF(SUM(J14*($C$5/100))=0,"",IF(ROUND(J13-$I$5,1)&lt;1,(($I$5/100)*$C$5)-('Cost of Production'!$C$46+J18),((($I$5/100)*$C$5)+J27)-('Cost of Production'!$C$46+J18)))</f>
        <v>414.1456531827514</v>
      </c>
      <c r="K47" s="66">
        <f>IF(SUM(K14*($C$5/100))=0,"",IF(ROUND(K13-$I$5,1)&lt;1,(($I$5/100)*$C$5)-('Cost of Production'!$C$46+K18),((($I$5/100)*$C$5)+K27)-('Cost of Production'!$C$46+K18)))</f>
        <v>439.32494532019678</v>
      </c>
      <c r="L47" s="66">
        <f>IF(SUM(L14*($C$5/100))=0,"",IF(ROUND(L13-$I$5,1)&lt;1,(($I$5/100)*$C$5)-('Cost of Production'!$C$46+L18),((($I$5/100)*$C$5)+L27)-('Cost of Production'!$C$46+L18)))</f>
        <v>469.00219020771488</v>
      </c>
      <c r="M47" s="66">
        <f>IF(SUM(M14*($C$5/100))=0,"",IF(ROUND(M13-$I$5,1)&lt;1,(($I$5/100)*$C$5)-('Cost of Production'!$C$46+M18),((($I$5/100)*$C$5)+M27)-('Cost of Production'!$C$46+M18)))</f>
        <v>472.59941320754683</v>
      </c>
      <c r="N47" s="66">
        <f>IF(SUM(N14*($C$5/100))=0,"",IF(ROUND(N13-$I$5,1)&lt;1,(($I$5/100)*$C$5)-('Cost of Production'!$C$46+N18),((($I$5/100)*$C$5)+N27)-('Cost of Production'!$C$46+N18)))</f>
        <v>479.71485932203382</v>
      </c>
      <c r="O47" s="66">
        <f>IF(SUM(O14*($C$5/100))=0,"",IF(ROUND(O13-$I$5,1)&lt;1,(($I$5/100)*$C$5)-('Cost of Production'!$C$46+O18),((($I$5/100)*$C$5)+O27)-('Cost of Production'!$C$46+O18)))</f>
        <v>479.62470425531887</v>
      </c>
      <c r="P47" s="66">
        <f>IF(SUM(P14*($C$5/100))=0,"",IF(ROUND(P13-$I$5,1)&lt;1,(($I$5/100)*$C$5)-('Cost of Production'!$C$46+P18),((($I$5/100)*$C$5)+P27)-('Cost of Production'!$C$46+P18)))</f>
        <v>479.52583531598498</v>
      </c>
      <c r="Q47" s="66">
        <f>IF(SUM(Q14*($C$5/100))=0,"",IF(ROUND(Q13-$I$5,1)&lt;1,(($I$5/100)*$C$5)-('Cost of Production'!$C$46+Q18),((($I$5/100)*$C$5)+Q27)-('Cost of Production'!$C$46+Q18)))</f>
        <v>475.37379999999985</v>
      </c>
      <c r="R47" s="66" t="str">
        <f>IF(SUM(R14*($C$5/100))=0,"",IF(ROUND(R13-$I$5,1)&lt;1,(($I$5/100)*$C$5)-('Cost of Production'!$C$46+R18),((($I$5/100)*$C$5)+R27)-('Cost of Production'!$C$46+R18)))</f>
        <v/>
      </c>
      <c r="S47" s="66" t="str">
        <f>IF(SUM(S14*($C$5/100))=0,"",IF(ROUND(S13-$I$5,1)&lt;1,(($I$5/100)*$C$5)-('Cost of Production'!$C$46+S18),((($I$5/100)*$C$5)+S27)-('Cost of Production'!$C$46+S18)))</f>
        <v/>
      </c>
      <c r="T47" s="66" t="str">
        <f>IF(SUM(T14*($C$5/100))=0,"",IF(ROUND(T13-$I$5,1)&lt;1,(($I$5/100)*$C$5)-('Cost of Production'!$C$46+T18),((($I$5/100)*$C$5)+T27)-('Cost of Production'!$C$46+T18)))</f>
        <v/>
      </c>
      <c r="U47" s="66" t="str">
        <f>IF(SUM(U14*($C$5/100))=0,"",IF(ROUND(U13-$I$5,1)&lt;1,(($I$5/100)*$C$5)-('Cost of Production'!$C$46+U18),((($I$5/100)*$C$5)+U27)-('Cost of Production'!$C$46+U18)))</f>
        <v/>
      </c>
      <c r="V47" s="66" t="str">
        <f>IF(SUM(V14*($C$5/100))=0,"",IF(ROUND(V13-$I$5,1)&lt;1,(($I$5/100)*$C$5)-('Cost of Production'!$C$46+V18),((($I$5/100)*$C$5)+V27)-('Cost of Production'!$C$46+V18)))</f>
        <v/>
      </c>
    </row>
    <row r="48" spans="1:54" ht="7.5" customHeight="1" x14ac:dyDescent="0.55000000000000004">
      <c r="B48" s="8"/>
    </row>
    <row r="49" spans="1:27" ht="17.7" x14ac:dyDescent="0.55000000000000004">
      <c r="A49" s="120" t="s">
        <v>86</v>
      </c>
      <c r="B49" s="120"/>
      <c r="C49" s="120"/>
      <c r="D49" s="120"/>
      <c r="E49" s="120"/>
      <c r="F49" s="120"/>
      <c r="G49" s="120"/>
      <c r="H49" s="120"/>
      <c r="I49" s="120"/>
      <c r="J49" s="120"/>
      <c r="K49" s="120"/>
      <c r="L49" s="120"/>
      <c r="M49" s="120"/>
      <c r="N49" s="120"/>
      <c r="O49" s="120"/>
      <c r="P49" s="120"/>
      <c r="Q49" s="120"/>
      <c r="R49" s="120"/>
      <c r="S49" s="120"/>
      <c r="T49" s="120"/>
      <c r="U49" s="120"/>
      <c r="V49" s="120"/>
      <c r="W49" s="1"/>
      <c r="X49" s="1"/>
      <c r="Y49" s="1"/>
      <c r="Z49" s="1"/>
      <c r="AA49" s="1"/>
    </row>
    <row r="50" spans="1:27" ht="7.5" customHeight="1" x14ac:dyDescent="0.55000000000000004">
      <c r="A50" s="44"/>
      <c r="B50" s="44"/>
      <c r="C50" s="44"/>
      <c r="D50" s="44"/>
      <c r="E50" s="44"/>
      <c r="F50" s="44"/>
      <c r="G50" s="44"/>
      <c r="H50" s="44"/>
      <c r="I50" s="44"/>
      <c r="J50" s="44"/>
      <c r="K50" s="44"/>
      <c r="L50" s="44"/>
      <c r="M50" s="44"/>
      <c r="N50" s="44"/>
      <c r="O50" s="44"/>
      <c r="P50" s="44"/>
      <c r="Q50" s="44"/>
      <c r="R50" s="44"/>
      <c r="S50" s="44"/>
      <c r="T50" s="44"/>
      <c r="U50" s="44"/>
      <c r="V50" s="44"/>
      <c r="W50" s="1"/>
      <c r="X50" s="1"/>
      <c r="Y50" s="1"/>
      <c r="Z50" s="1"/>
      <c r="AA50" s="1"/>
    </row>
    <row r="51" spans="1:27" ht="15.75" customHeight="1" x14ac:dyDescent="0.55000000000000004">
      <c r="A51" s="70" t="str">
        <f>"Premium Cost ($/head) = Insured Weight (cwt) x Premium ($/cwt)   (eg. ("&amp;C5&amp;"lbs /100) x $"&amp;J14&amp;" = $"&amp;TEXT(J18,"0.00")&amp;")"</f>
        <v>Premium Cost ($/head) = Insured Weight (cwt) x Premium ($/cwt)   (eg. (575lbs /100) x $4.87 = $15.00)</v>
      </c>
      <c r="B51" s="8"/>
    </row>
    <row r="52" spans="1:27" ht="15.75" customHeight="1" x14ac:dyDescent="0.55000000000000004">
      <c r="A52" s="70" t="str">
        <f>"Insured Value ($/head) = Insured Index ($/cwt) x Insured Weight (cwt)   (eg. $"&amp;J13&amp;" x ("&amp;C5&amp;"lbs/100) = $"&amp;J19&amp;")"</f>
        <v>Insured Value ($/head) = Insured Index ($/cwt) x Insured Weight (cwt)   (eg. $378 x (575lbs/100) = $1164.27104722793)</v>
      </c>
      <c r="B52" s="8"/>
    </row>
    <row r="53" spans="1:27" ht="15.75" customHeight="1" x14ac:dyDescent="0.55000000000000004">
      <c r="A53" s="70" t="str">
        <f>"Premium Cost (% of Insured Value) = Premium Cost ($/head) / Insured Value ($/head)   (eg. $"&amp;TEXT(J18,"0.00")&amp;" / $"&amp;J19&amp;" = "&amp;ROUND(J21*100,2)&amp;"%)"</f>
        <v>Premium Cost (% of Insured Value) = Premium Cost ($/head) / Insured Value ($/head)   (eg. $15.00 / $1164.27104722793 = 1.29%)</v>
      </c>
      <c r="B53" s="8"/>
    </row>
    <row r="54" spans="1:27" ht="15.75" customHeight="1" x14ac:dyDescent="0.55000000000000004">
      <c r="A54" s="70" t="str">
        <f>"WLPIP Payment ($/head) = (Insured Index ($/cwt) - Estimated Settlement Price ($/cwt))) x (Insured  Weight (lbs)/100)     (eg. ($"&amp;J13&amp;" - $"&amp;$I$5&amp;") x ("&amp;$C$5&amp;" lbs/100) = $"&amp;J27&amp;")"</f>
        <v>WLPIP Payment ($/head) = (Insured Index ($/cwt) - Estimated Settlement Price ($/cwt))) x (Insured  Weight (lbs)/100)     (eg. ($378 - $325) x (575 lbs/100) = $163.244353182752)</v>
      </c>
      <c r="B54" s="8"/>
    </row>
    <row r="55" spans="1:27" ht="15.75" customHeight="1" x14ac:dyDescent="0.55000000000000004">
      <c r="A55" s="70" t="str">
        <f>"Cost Not Covered by WLPIP Insured Value ($/head) =  Cost of Production ($/head) + WLPIP Premium ($/head) - WLPIP Insured Value ($/head)   (eg. $"&amp;ROUND('Cost of Production'!$C$46,0)&amp;" + $"&amp;TEXT(J18,"0.00")&amp;" - $"&amp;J19&amp;" = $"&amp;ROUND(IF(J18+'Cost of Production'!$C$46-'WLPIP 2 (HIDE)'!J19&lt;0,0,SUM(J18+'Cost of Production'!$C$46-'WLPIP 2 (HIDE)'!J19)),2)&amp;")"</f>
        <v>Cost Not Covered by WLPIP Insured Value ($/head) =  Cost of Production ($/head) + WLPIP Premium ($/head) - WLPIP Insured Value ($/head)   (eg. $1603 + $15.00 - $1164.27104722793 = $453.58)</v>
      </c>
      <c r="B55" s="8"/>
    </row>
    <row r="56" spans="1:27" ht="15.75" customHeight="1" x14ac:dyDescent="0.55000000000000004">
      <c r="A56" s="93" t="str">
        <f>"Incremental Coverage Cost (per $1 of Inc. Coverage) = (Premium Cost  - Premium Cost (lower level) / (Insured Value - Insured Value (lower level))   (eg. ($"&amp;TEXT(J18,"0.00")&amp;" - $"&amp;TEXT(K18,"0.00")&amp;") / ($"&amp;J19&amp;" - $"&amp;K19&amp;") = $"&amp;J39&amp;")"</f>
        <v>Incremental Coverage Cost (per $1 of Inc. Coverage) = (Premium Cost  - Premium Cost (lower level) / (Insured Value - Insured Value (lower level))   (eg. ($15.00 - $15.00) / ($1164.27104722793 - $1389.16256157635) = $0)</v>
      </c>
      <c r="B56" s="94"/>
      <c r="C56" s="88"/>
      <c r="D56" s="88"/>
      <c r="E56" s="88"/>
      <c r="F56" s="88"/>
      <c r="G56" s="88"/>
      <c r="H56" s="88"/>
      <c r="I56" s="88"/>
      <c r="J56" s="88"/>
      <c r="K56" s="88"/>
      <c r="L56" s="88"/>
      <c r="M56" s="88"/>
      <c r="N56" s="88"/>
      <c r="O56" s="88"/>
      <c r="P56" s="88"/>
      <c r="Q56" s="88"/>
      <c r="R56" s="88"/>
      <c r="S56" s="88"/>
      <c r="T56" s="88"/>
      <c r="U56" s="88"/>
      <c r="V56" s="88"/>
    </row>
    <row r="57" spans="1:27" ht="15.75" customHeight="1" x14ac:dyDescent="0.55000000000000004">
      <c r="A57" s="70" t="str">
        <f>"Marginal Return ($/head) = ((Est. Settlement Price ($/cwt) x (Insured Weight (lbs) / 100)) + WLPIP Payment ($/head) - (Costs ($/head) + WLPIP Premium($/head)))   (eg. (($"&amp;$I$5&amp;" x ("&amp;$C$5&amp;" lbs/100)) + $"&amp;ROUND(J27,0)&amp;" - ($"&amp;ROUND('Cost of Production'!$C$46,0)&amp;" + $"&amp;TEXT(J18,"0.00")&amp;") = $"&amp;TEXT(J47,"0.00")&amp;")"</f>
        <v>Marginal Return ($/head) = ((Est. Settlement Price ($/cwt) x (Insured Weight (lbs) / 100)) + WLPIP Payment ($/head) - (Costs ($/head) + WLPIP Premium($/head)))   (eg. (($325 x (575 lbs/100)) + $163 - ($1603 + $15.00) = $414.15)</v>
      </c>
      <c r="B57" s="8"/>
    </row>
    <row r="58" spans="1:27" ht="7.5" customHeight="1" x14ac:dyDescent="0.55000000000000004">
      <c r="A58" s="67"/>
    </row>
    <row r="59" spans="1:27" s="16" customFormat="1" ht="12.75" customHeight="1" x14ac:dyDescent="0.5">
      <c r="A59" s="45" t="s">
        <v>15</v>
      </c>
      <c r="B59" s="45"/>
      <c r="C59" s="45"/>
      <c r="D59" s="45"/>
      <c r="E59" s="45"/>
      <c r="F59" s="45"/>
      <c r="G59" s="45"/>
      <c r="H59" s="45"/>
      <c r="I59" s="45"/>
      <c r="J59" s="45"/>
      <c r="K59" s="45"/>
    </row>
    <row r="60" spans="1:27" s="16" customFormat="1" ht="7.5" customHeight="1" x14ac:dyDescent="0.5">
      <c r="A60" s="53"/>
      <c r="B60" s="53"/>
      <c r="C60" s="53"/>
      <c r="D60" s="53"/>
      <c r="E60" s="53"/>
      <c r="F60" s="53"/>
      <c r="G60" s="53"/>
      <c r="H60" s="53"/>
      <c r="I60" s="53"/>
      <c r="J60" s="53"/>
      <c r="K60" s="53"/>
      <c r="L60" s="53"/>
      <c r="M60" s="53"/>
      <c r="N60" s="53"/>
      <c r="O60" s="53"/>
      <c r="P60" s="53"/>
      <c r="Q60" s="53"/>
      <c r="R60" s="53"/>
      <c r="S60" s="23"/>
      <c r="T60" s="23"/>
      <c r="U60" s="23"/>
      <c r="V60" s="23"/>
    </row>
    <row r="61" spans="1:27" s="16" customFormat="1" ht="3" hidden="1" customHeight="1" x14ac:dyDescent="0.5">
      <c r="A61" s="21"/>
      <c r="B61" s="22"/>
      <c r="C61" s="22"/>
      <c r="D61" s="22"/>
      <c r="E61" s="22"/>
      <c r="F61" s="22"/>
      <c r="G61" s="23"/>
      <c r="H61" s="23"/>
      <c r="I61" s="23"/>
      <c r="J61" s="23"/>
      <c r="K61" s="23"/>
    </row>
    <row r="62" spans="1:27" ht="18" customHeight="1" x14ac:dyDescent="0.55000000000000004">
      <c r="A62" s="134" t="s">
        <v>63</v>
      </c>
      <c r="B62" s="134"/>
      <c r="C62" s="134"/>
      <c r="D62" s="134"/>
      <c r="E62" s="134"/>
      <c r="F62" s="134"/>
      <c r="G62" s="134"/>
      <c r="H62" s="134"/>
      <c r="I62" s="134"/>
      <c r="J62" s="134"/>
      <c r="K62" s="134"/>
      <c r="L62" s="134"/>
      <c r="M62" s="134"/>
      <c r="N62" s="134"/>
      <c r="O62" s="134"/>
      <c r="P62" s="134"/>
      <c r="Q62" s="134"/>
      <c r="R62" s="134"/>
    </row>
    <row r="63" spans="1:27" x14ac:dyDescent="0.55000000000000004">
      <c r="A63" s="134"/>
      <c r="B63" s="134"/>
      <c r="C63" s="134"/>
      <c r="D63" s="134"/>
      <c r="E63" s="134"/>
      <c r="F63" s="134"/>
      <c r="G63" s="134"/>
      <c r="H63" s="134"/>
      <c r="I63" s="134"/>
      <c r="J63" s="134"/>
      <c r="K63" s="134"/>
      <c r="L63" s="134"/>
      <c r="M63" s="134"/>
      <c r="N63" s="134"/>
      <c r="O63" s="134"/>
      <c r="P63" s="134"/>
      <c r="Q63" s="134"/>
      <c r="R63" s="134"/>
    </row>
    <row r="64" spans="1:27" x14ac:dyDescent="0.55000000000000004">
      <c r="A64" s="134"/>
      <c r="B64" s="134"/>
      <c r="C64" s="134"/>
      <c r="D64" s="134"/>
      <c r="E64" s="134"/>
      <c r="F64" s="134"/>
      <c r="G64" s="134"/>
      <c r="H64" s="134"/>
      <c r="I64" s="134"/>
      <c r="J64" s="134"/>
      <c r="K64" s="134"/>
      <c r="L64" s="134"/>
      <c r="M64" s="134"/>
      <c r="N64" s="134"/>
      <c r="O64" s="134"/>
      <c r="P64" s="134"/>
      <c r="Q64" s="134"/>
      <c r="R64" s="134"/>
    </row>
    <row r="65" spans="1:22" ht="7.5" customHeight="1" x14ac:dyDescent="0.55000000000000004">
      <c r="A65" s="52"/>
      <c r="B65" s="52"/>
      <c r="C65" s="52"/>
      <c r="D65" s="52"/>
      <c r="E65" s="52"/>
      <c r="F65" s="52"/>
      <c r="G65" s="52"/>
      <c r="H65" s="52"/>
      <c r="I65" s="52"/>
      <c r="J65" s="52"/>
      <c r="K65" s="52"/>
    </row>
    <row r="66" spans="1:22" x14ac:dyDescent="0.55000000000000004">
      <c r="A66" s="20" t="s">
        <v>8</v>
      </c>
      <c r="B66" s="30"/>
      <c r="C66" s="30"/>
      <c r="D66" s="27"/>
      <c r="E66" s="27"/>
      <c r="F66" s="27"/>
      <c r="G66" s="27"/>
      <c r="H66" s="28" t="s">
        <v>14</v>
      </c>
      <c r="I66" s="31"/>
      <c r="J66" s="56"/>
      <c r="K66" s="56"/>
      <c r="L66" s="31"/>
      <c r="M66" s="31"/>
      <c r="N66" s="31"/>
      <c r="O66" s="31"/>
      <c r="P66" s="31"/>
      <c r="Q66" s="31"/>
      <c r="R66" s="56"/>
      <c r="S66" s="55"/>
      <c r="T66" s="31"/>
      <c r="U66" s="31"/>
      <c r="V66" s="54" t="s">
        <v>55</v>
      </c>
    </row>
    <row r="67" spans="1:22" x14ac:dyDescent="0.55000000000000004">
      <c r="A67" s="29" t="s">
        <v>9</v>
      </c>
      <c r="B67" s="26"/>
      <c r="C67" s="26"/>
      <c r="D67" s="26"/>
      <c r="E67" s="26"/>
      <c r="F67" s="26"/>
      <c r="G67" s="26"/>
      <c r="H67" s="26"/>
    </row>
    <row r="68" spans="1:22" x14ac:dyDescent="0.55000000000000004">
      <c r="A68" s="135" t="s">
        <v>10</v>
      </c>
      <c r="B68" s="135"/>
      <c r="C68" s="135" t="s">
        <v>11</v>
      </c>
      <c r="D68" s="135"/>
      <c r="E68" s="135"/>
      <c r="F68" s="136"/>
      <c r="G68" s="136"/>
      <c r="I68" s="137"/>
      <c r="J68" s="137"/>
    </row>
    <row r="69" spans="1:22" s="72" customFormat="1" ht="13.8" x14ac:dyDescent="0.45">
      <c r="A69" s="71" t="s">
        <v>13</v>
      </c>
      <c r="C69" s="71" t="s">
        <v>13</v>
      </c>
      <c r="F69" s="71"/>
      <c r="I69" s="71"/>
    </row>
  </sheetData>
  <mergeCells count="11">
    <mergeCell ref="A10:V10"/>
    <mergeCell ref="C12:V12"/>
    <mergeCell ref="A16:V16"/>
    <mergeCell ref="A41:V41"/>
    <mergeCell ref="A49:V49"/>
    <mergeCell ref="Y23:AB30"/>
    <mergeCell ref="A62:R64"/>
    <mergeCell ref="A68:B68"/>
    <mergeCell ref="C68:E68"/>
    <mergeCell ref="F68:G68"/>
    <mergeCell ref="I68:J68"/>
  </mergeCells>
  <dataValidations count="2">
    <dataValidation type="list" allowBlank="1" showInputMessage="1" showErrorMessage="1" sqref="O5" xr:uid="{00000000-0002-0000-0400-000000000000}">
      <formula1>$BB$8:$CF$8</formula1>
    </dataValidation>
    <dataValidation type="list" allowBlank="1" showInputMessage="1" showErrorMessage="1" sqref="N5" xr:uid="{00000000-0002-0000-0400-000001000000}">
      <formula1>$BB$9:$BM$9</formula1>
    </dataValidation>
  </dataValidations>
  <hyperlinks>
    <hyperlink ref="A68" r:id="rId1" xr:uid="{00000000-0004-0000-0400-000000000000}"/>
    <hyperlink ref="C68" r:id="rId2" xr:uid="{00000000-0004-0000-0400-000001000000}"/>
  </hyperlinks>
  <printOptions horizontalCentered="1"/>
  <pageMargins left="0.35433070866141736" right="0.35433070866141736" top="0.39370078740157483" bottom="0.39370078740157483" header="0.51181102362204722" footer="0.51181102362204722"/>
  <pageSetup paperSize="5" scale="55" firstPageNumber="3" pageOrder="overThenDown" orientation="landscape" useFirstPageNumber="1" r:id="rId3"/>
  <headerFooter scaleWithDoc="0" alignWithMargins="0">
    <oddFooter>&amp;R&amp;9Manitoba Agriculture, Farm Management</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5CDFE4-9110-4C00-8DF2-40A06EF40E99}">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C74406D-C4EA-4419-8D13-0E6C8393F311}">
  <ds:schemaRefs>
    <ds:schemaRef ds:uri="http://schemas.microsoft.com/sharepoint/v3/contenttype/forms"/>
  </ds:schemaRefs>
</ds:datastoreItem>
</file>

<file path=customXml/itemProps3.xml><?xml version="1.0" encoding="utf-8"?>
<ds:datastoreItem xmlns:ds="http://schemas.openxmlformats.org/officeDocument/2006/customXml" ds:itemID="{E2E95F7F-1BA8-40BE-AA9E-CBA1339B49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 LPI Calculator</vt:lpstr>
      <vt:lpstr>User Guide</vt:lpstr>
      <vt:lpstr>Cost of Production</vt:lpstr>
      <vt:lpstr>Graph Data (HIDE)</vt:lpstr>
      <vt:lpstr>WLPIP 2 (HIDE)</vt:lpstr>
      <vt:lpstr>' LPI Calculator'!Print_Area</vt:lpstr>
      <vt:lpstr>'User Guide'!Print_Area</vt:lpstr>
      <vt:lpstr>'WLPIP 2 (HIDE)'!Print_Area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LPI Calf Decision Calculator</dc:title>
  <dc:creator>Roy Arnott</dc:creator>
  <cp:lastModifiedBy>Berthelette, Crystal</cp:lastModifiedBy>
  <cp:lastPrinted>2024-02-13T19:28:08Z</cp:lastPrinted>
  <dcterms:created xsi:type="dcterms:W3CDTF">2014-09-15T13:56:31Z</dcterms:created>
  <dcterms:modified xsi:type="dcterms:W3CDTF">2024-07-16T15:06:29Z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